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autoCompressPictures="0" defaultThemeVersion="124226"/>
  <mc:AlternateContent xmlns:mc="http://schemas.openxmlformats.org/markup-compatibility/2006">
    <mc:Choice Requires="x15">
      <x15ac:absPath xmlns:x15ac="http://schemas.microsoft.com/office/spreadsheetml/2010/11/ac" url="D:\BKP LAPTOP SERVICI\Mirela Cosovan\POIM\POIM\COMUNICARE SI PUBLICITATE\Doc. trans. spre publicare\RAP. LUNARE\2021\iulie\"/>
    </mc:Choice>
  </mc:AlternateContent>
  <xr:revisionPtr revIDLastSave="0" documentId="8_{E778F54F-2AEC-4B02-9D4B-704ADBBE8CC0}" xr6:coauthVersionLast="47" xr6:coauthVersionMax="47" xr10:uidLastSave="{00000000-0000-0000-0000-000000000000}"/>
  <bookViews>
    <workbookView xWindow="-120" yWindow="-120" windowWidth="29040" windowHeight="15840" firstSheet="1" activeTab="3" xr2:uid="{00000000-000D-0000-FFFF-FFFF00000000}"/>
  </bookViews>
  <sheets>
    <sheet name="Tabel 2_balanta" sheetId="5" state="hidden" r:id="rId1"/>
    <sheet name="Calendar sintetic" sheetId="8" r:id="rId2"/>
    <sheet name="proiecte depuse, respinse si ap" sheetId="9" state="hidden" r:id="rId3"/>
    <sheet name="Calendar apeluri detaliat" sheetId="1" r:id="rId4"/>
  </sheets>
  <externalReferences>
    <externalReference r:id="rId5"/>
  </externalReferences>
  <definedNames>
    <definedName name="_xlnm.Print_Area" localSheetId="1">'Calendar sintetic'!$A$2:$E$53</definedName>
    <definedName name="_xlnm.Print_Area" localSheetId="2">'proiecte depuse, respinse si ap'!$A$3:$AX$26</definedName>
    <definedName name="_xlnm.Print_Area" localSheetId="0">'Tabel 2_balanta'!$A$2:$M$42</definedName>
    <definedName name="_xlnm.Print_Titles" localSheetId="3">'Calendar apeluri detaliat'!$9:$10</definedName>
    <definedName name="_xlnm.Print_Titles" localSheetId="1">'Calendar sintetic'!$4:$4</definedName>
    <definedName name="_xlnm.Print_Titles" localSheetId="0">'Tabel 2_balanta'!$1:$2</definedName>
  </definedNames>
  <calcPr calcId="191029"/>
</workbook>
</file>

<file path=xl/calcChain.xml><?xml version="1.0" encoding="utf-8"?>
<calcChain xmlns="http://schemas.openxmlformats.org/spreadsheetml/2006/main">
  <c r="Z60" i="1" l="1"/>
  <c r="AA60" i="1" s="1"/>
  <c r="AA58" i="1"/>
  <c r="AA54" i="1"/>
  <c r="Z54" i="1"/>
  <c r="AA52" i="1"/>
  <c r="Z52" i="1"/>
  <c r="AA51" i="1"/>
  <c r="Z51" i="1"/>
  <c r="AA50" i="1"/>
  <c r="Z50" i="1"/>
  <c r="AA49" i="1"/>
  <c r="Z49" i="1"/>
  <c r="AA48" i="1"/>
  <c r="Z48" i="1"/>
  <c r="AA39" i="1"/>
  <c r="Z39" i="1"/>
  <c r="AA37" i="1"/>
  <c r="Z37" i="1"/>
  <c r="AA34" i="1"/>
  <c r="Z34" i="1"/>
  <c r="AA32" i="1"/>
  <c r="Z32" i="1"/>
  <c r="AA30" i="1"/>
  <c r="AA31" i="1"/>
  <c r="Z30" i="1"/>
  <c r="AA26" i="1"/>
  <c r="AA25" i="1"/>
  <c r="Z25" i="1" l="1"/>
  <c r="AA19" i="1"/>
  <c r="AA22" i="1" l="1"/>
  <c r="Z19" i="1"/>
  <c r="Z16" i="1"/>
  <c r="Z12" i="1" l="1"/>
  <c r="AA12" i="1" l="1"/>
  <c r="AA16" i="1" l="1"/>
  <c r="Z58" i="1" l="1"/>
  <c r="AA57" i="1"/>
  <c r="Z57" i="1"/>
  <c r="AA55" i="1"/>
  <c r="Z55" i="1"/>
  <c r="AA44" i="1"/>
  <c r="Z44" i="1"/>
  <c r="AA41" i="1"/>
  <c r="Z41" i="1"/>
  <c r="Y64" i="1" l="1"/>
  <c r="AA28" i="1" l="1"/>
  <c r="Z28" i="1"/>
  <c r="Z26" i="1"/>
  <c r="Z64" i="1" l="1"/>
  <c r="AA64" i="1"/>
  <c r="AA11" i="1"/>
  <c r="Z31" i="1" s="1"/>
  <c r="Z22" i="1"/>
  <c r="Z11" i="1" s="1"/>
  <c r="Z59" i="1" l="1"/>
  <c r="Y59" i="1"/>
  <c r="AA59" i="1" l="1"/>
  <c r="Y11" i="1"/>
  <c r="Z40" i="1" l="1"/>
  <c r="Z29" i="1"/>
  <c r="Y47" i="1" l="1"/>
  <c r="AA67" i="1" l="1"/>
  <c r="H64" i="1" l="1"/>
  <c r="I64" i="1"/>
  <c r="J64" i="1"/>
  <c r="K64" i="1"/>
  <c r="L64" i="1"/>
  <c r="M64" i="1"/>
  <c r="N64" i="1"/>
  <c r="O64" i="1"/>
  <c r="T64" i="1"/>
  <c r="U64" i="1"/>
  <c r="Z53" i="1" l="1"/>
  <c r="Z56" i="1" l="1"/>
  <c r="AA56" i="1"/>
  <c r="Y53" i="1"/>
  <c r="X56" i="1" l="1"/>
  <c r="W56" i="1"/>
  <c r="X53" i="1" l="1"/>
  <c r="W53" i="1"/>
  <c r="X47" i="1"/>
  <c r="W47" i="1"/>
  <c r="X41" i="1"/>
  <c r="X40" i="1" s="1"/>
  <c r="W40" i="1"/>
  <c r="X39" i="1"/>
  <c r="X35" i="1"/>
  <c r="X33" i="1"/>
  <c r="W33" i="1"/>
  <c r="X32" i="1"/>
  <c r="X31" i="1"/>
  <c r="X30" i="1"/>
  <c r="W29" i="1"/>
  <c r="X28" i="1"/>
  <c r="X27" i="1"/>
  <c r="X26" i="1"/>
  <c r="X25" i="1"/>
  <c r="X24" i="1"/>
  <c r="X23" i="1"/>
  <c r="X22" i="1"/>
  <c r="W21" i="1"/>
  <c r="X20" i="1"/>
  <c r="X19" i="1"/>
  <c r="W18" i="1"/>
  <c r="X17" i="1"/>
  <c r="X16" i="1"/>
  <c r="W15" i="1"/>
  <c r="X14" i="1"/>
  <c r="X13" i="1"/>
  <c r="X12" i="1"/>
  <c r="W11" i="1" l="1"/>
  <c r="W64" i="1" s="1"/>
  <c r="X15" i="1"/>
  <c r="X21" i="1"/>
  <c r="X18" i="1"/>
  <c r="X29" i="1"/>
  <c r="X11" i="1" l="1"/>
  <c r="X64" i="1" s="1"/>
  <c r="C18" i="1"/>
  <c r="C15" i="1"/>
  <c r="AA53" i="1" l="1"/>
  <c r="D56" i="1" l="1"/>
  <c r="C56" i="1"/>
  <c r="C40" i="1"/>
  <c r="D35" i="1"/>
  <c r="AA29" i="1" l="1"/>
  <c r="C29" i="1" l="1"/>
  <c r="C47" i="1"/>
  <c r="D47" i="1"/>
  <c r="D41" i="1"/>
  <c r="D40" i="1" s="1"/>
  <c r="D39" i="1"/>
  <c r="D32" i="1"/>
  <c r="D31" i="1"/>
  <c r="D28" i="1"/>
  <c r="D27" i="1"/>
  <c r="D26" i="1"/>
  <c r="D25" i="1"/>
  <c r="D24" i="1"/>
  <c r="D23" i="1"/>
  <c r="D22" i="1"/>
  <c r="D20" i="1"/>
  <c r="D19" i="1"/>
  <c r="D17" i="1"/>
  <c r="D16" i="1"/>
  <c r="D14" i="1"/>
  <c r="D13" i="1"/>
  <c r="D12" i="1"/>
  <c r="D18" i="1" l="1"/>
  <c r="D15" i="1"/>
  <c r="D29" i="1"/>
  <c r="D21" i="1"/>
  <c r="D53" i="1"/>
  <c r="D11" i="1" l="1"/>
  <c r="Y29" i="1" l="1"/>
  <c r="Y33" i="1"/>
  <c r="Y40" i="1"/>
  <c r="AX23" i="9"/>
  <c r="AW23" i="9"/>
  <c r="AV23" i="9"/>
  <c r="AU23" i="9"/>
  <c r="AT23" i="9"/>
  <c r="AS23" i="9"/>
  <c r="AR23" i="9"/>
  <c r="AQ23" i="9"/>
  <c r="AP23" i="9"/>
  <c r="AO23" i="9"/>
  <c r="AN23" i="9"/>
  <c r="AM23" i="9"/>
  <c r="AL23" i="9"/>
  <c r="AK23" i="9"/>
  <c r="AJ23" i="9"/>
  <c r="AI23" i="9"/>
  <c r="AH23" i="9"/>
  <c r="AG23" i="9"/>
  <c r="AF23" i="9"/>
  <c r="AE23" i="9"/>
  <c r="AD23" i="9"/>
  <c r="AA23" i="9"/>
  <c r="Z23" i="9"/>
  <c r="Y23" i="9"/>
  <c r="W23" i="9"/>
  <c r="V23" i="9"/>
  <c r="T23" i="9"/>
  <c r="S23" i="9"/>
  <c r="R23" i="9"/>
  <c r="Q23" i="9"/>
  <c r="P23" i="9"/>
  <c r="O23" i="9"/>
  <c r="N23" i="9"/>
  <c r="L23" i="9"/>
  <c r="K23" i="9"/>
  <c r="J23" i="9"/>
  <c r="I23" i="9"/>
  <c r="H23" i="9"/>
  <c r="G23" i="9"/>
  <c r="E23" i="9"/>
  <c r="AX21" i="9"/>
  <c r="AW21" i="9"/>
  <c r="AV21" i="9"/>
  <c r="AU21" i="9"/>
  <c r="AT21" i="9"/>
  <c r="AS21" i="9"/>
  <c r="AR21" i="9"/>
  <c r="AQ21" i="9"/>
  <c r="AP21" i="9"/>
  <c r="AO21" i="9"/>
  <c r="AN21" i="9"/>
  <c r="AM21" i="9"/>
  <c r="AL21" i="9"/>
  <c r="AK21" i="9"/>
  <c r="AJ21" i="9"/>
  <c r="AI21" i="9"/>
  <c r="AH21" i="9"/>
  <c r="AG21" i="9"/>
  <c r="AF21" i="9"/>
  <c r="AE21" i="9"/>
  <c r="AD21" i="9"/>
  <c r="AC21" i="9"/>
  <c r="AB21" i="9"/>
  <c r="AA21" i="9"/>
  <c r="Z21" i="9"/>
  <c r="Y21" i="9"/>
  <c r="X21" i="9"/>
  <c r="W21" i="9"/>
  <c r="V21" i="9"/>
  <c r="U21" i="9"/>
  <c r="T21" i="9"/>
  <c r="S21" i="9"/>
  <c r="R21" i="9"/>
  <c r="Q21" i="9"/>
  <c r="P21" i="9"/>
  <c r="O21" i="9"/>
  <c r="N21" i="9"/>
  <c r="L21" i="9"/>
  <c r="K21" i="9"/>
  <c r="J21" i="9"/>
  <c r="I21" i="9"/>
  <c r="G21" i="9"/>
  <c r="E21" i="9"/>
  <c r="AB20" i="9"/>
  <c r="AB23" i="9" s="1"/>
  <c r="X20" i="9"/>
  <c r="X23" i="9" s="1"/>
  <c r="U20" i="9"/>
  <c r="M20" i="9"/>
  <c r="F20" i="9"/>
  <c r="F23" i="9" s="1"/>
  <c r="H18" i="9"/>
  <c r="M18" i="9" s="1"/>
  <c r="M21" i="9" s="1"/>
  <c r="F18" i="9"/>
  <c r="F21" i="9" s="1"/>
  <c r="U16" i="9"/>
  <c r="M16" i="9"/>
  <c r="U15" i="9"/>
  <c r="M15" i="9"/>
  <c r="B42" i="8"/>
  <c r="B38" i="8"/>
  <c r="D44" i="8"/>
  <c r="D43" i="8"/>
  <c r="D39" i="8"/>
  <c r="D52" i="8"/>
  <c r="B50" i="8"/>
  <c r="D47" i="8"/>
  <c r="B46" i="8"/>
  <c r="D45" i="8"/>
  <c r="D41" i="8"/>
  <c r="D36" i="8"/>
  <c r="B34" i="8"/>
  <c r="B54" i="8" s="1"/>
  <c r="B25" i="8"/>
  <c r="B14" i="8"/>
  <c r="B5" i="8"/>
  <c r="C12" i="5"/>
  <c r="E12" i="5" s="1"/>
  <c r="H12" i="5" s="1"/>
  <c r="C13" i="5"/>
  <c r="E13" i="5" s="1"/>
  <c r="C14" i="5"/>
  <c r="E14" i="5" s="1"/>
  <c r="H14" i="5" s="1"/>
  <c r="D18" i="5"/>
  <c r="F18" i="5" s="1"/>
  <c r="D19" i="5"/>
  <c r="D21" i="5"/>
  <c r="F21" i="5" s="1"/>
  <c r="D22" i="5"/>
  <c r="D23" i="5"/>
  <c r="D25" i="5"/>
  <c r="D26" i="5"/>
  <c r="F26" i="5" s="1"/>
  <c r="I26" i="5" s="1"/>
  <c r="C31" i="5"/>
  <c r="D32" i="5"/>
  <c r="F32" i="5" s="1"/>
  <c r="I32" i="5" s="1"/>
  <c r="D33" i="5"/>
  <c r="F33" i="5" s="1"/>
  <c r="I33" i="5" s="1"/>
  <c r="D34" i="5"/>
  <c r="D36" i="5"/>
  <c r="D37" i="5"/>
  <c r="C36" i="5"/>
  <c r="C37" i="5"/>
  <c r="C48" i="5" s="1"/>
  <c r="C39" i="5"/>
  <c r="E39" i="5" s="1"/>
  <c r="C40" i="5"/>
  <c r="C34" i="5"/>
  <c r="E34" i="5" s="1"/>
  <c r="H34" i="5" s="1"/>
  <c r="C23" i="5"/>
  <c r="E23" i="5" s="1"/>
  <c r="H23" i="5" s="1"/>
  <c r="C18" i="5"/>
  <c r="D39" i="5"/>
  <c r="F39" i="5" s="1"/>
  <c r="I39" i="5" s="1"/>
  <c r="D40" i="5"/>
  <c r="F40" i="5" s="1"/>
  <c r="I40" i="5" s="1"/>
  <c r="D31" i="5"/>
  <c r="D3" i="5"/>
  <c r="F3" i="5" s="1"/>
  <c r="D9" i="5"/>
  <c r="F9" i="5" s="1"/>
  <c r="I9" i="5" s="1"/>
  <c r="D10" i="5"/>
  <c r="F10" i="5" s="1"/>
  <c r="D4" i="5"/>
  <c r="D15" i="5"/>
  <c r="B15" i="5" s="1"/>
  <c r="D5" i="5"/>
  <c r="F5" i="5" s="1"/>
  <c r="I5" i="5" s="1"/>
  <c r="D12" i="5"/>
  <c r="F12" i="5" s="1"/>
  <c r="I12" i="5" s="1"/>
  <c r="D6" i="5"/>
  <c r="F6" i="5" s="1"/>
  <c r="D11" i="5"/>
  <c r="F11" i="5" s="1"/>
  <c r="I11" i="5" s="1"/>
  <c r="D13" i="5"/>
  <c r="F13" i="5" s="1"/>
  <c r="I13" i="5" s="1"/>
  <c r="D14" i="5"/>
  <c r="C3" i="5"/>
  <c r="E3" i="5" s="1"/>
  <c r="H3" i="5" s="1"/>
  <c r="C4" i="5"/>
  <c r="C5" i="5"/>
  <c r="E5" i="5" s="1"/>
  <c r="H5" i="5" s="1"/>
  <c r="C6" i="5"/>
  <c r="E6" i="5" s="1"/>
  <c r="H6" i="5" s="1"/>
  <c r="C8" i="5"/>
  <c r="E8" i="5"/>
  <c r="C9" i="5"/>
  <c r="C10" i="5"/>
  <c r="E10" i="5" s="1"/>
  <c r="C11" i="5"/>
  <c r="E11" i="5" s="1"/>
  <c r="H11" i="5" s="1"/>
  <c r="C15" i="5"/>
  <c r="E15" i="5" s="1"/>
  <c r="H15" i="5" s="1"/>
  <c r="G16" i="5"/>
  <c r="C19" i="5"/>
  <c r="E19" i="5" s="1"/>
  <c r="C21" i="5"/>
  <c r="E21" i="5" s="1"/>
  <c r="C22" i="5"/>
  <c r="C25" i="5"/>
  <c r="E25" i="5" s="1"/>
  <c r="C26" i="5"/>
  <c r="E26" i="5" s="1"/>
  <c r="K30" i="5"/>
  <c r="L30" i="5"/>
  <c r="C32" i="5"/>
  <c r="E32" i="5" s="1"/>
  <c r="C33" i="5"/>
  <c r="H44" i="5"/>
  <c r="I44" i="5"/>
  <c r="J44" i="5"/>
  <c r="C45" i="5"/>
  <c r="D45" i="5"/>
  <c r="E45" i="5"/>
  <c r="F45" i="5"/>
  <c r="H47" i="5"/>
  <c r="I47" i="5"/>
  <c r="H48" i="5"/>
  <c r="I48" i="5"/>
  <c r="H49" i="5"/>
  <c r="I49" i="5"/>
  <c r="H50" i="5"/>
  <c r="I50" i="5"/>
  <c r="H51" i="5"/>
  <c r="I51" i="5"/>
  <c r="H52" i="5"/>
  <c r="I52" i="5"/>
  <c r="H53" i="5"/>
  <c r="I53" i="5"/>
  <c r="H55" i="5"/>
  <c r="I55" i="5"/>
  <c r="H56" i="5"/>
  <c r="I56" i="5"/>
  <c r="C57" i="5"/>
  <c r="C58" i="5"/>
  <c r="C61" i="5"/>
  <c r="E61" i="5"/>
  <c r="F61" i="5"/>
  <c r="C62" i="5"/>
  <c r="E62" i="5"/>
  <c r="F62" i="5"/>
  <c r="D68" i="5"/>
  <c r="E68" i="5" s="1"/>
  <c r="D69" i="5"/>
  <c r="E69" i="5" s="1"/>
  <c r="C70" i="5"/>
  <c r="D41" i="5"/>
  <c r="H21" i="9"/>
  <c r="E31" i="5"/>
  <c r="H31" i="5" s="1"/>
  <c r="I10" i="5"/>
  <c r="C21" i="1"/>
  <c r="C11" i="1" s="1"/>
  <c r="Z33" i="1" l="1"/>
  <c r="D70" i="5"/>
  <c r="E70" i="5" s="1"/>
  <c r="U23" i="9"/>
  <c r="AC20" i="9"/>
  <c r="AC23" i="9" s="1"/>
  <c r="C41" i="5"/>
  <c r="Z47" i="1"/>
  <c r="E37" i="5"/>
  <c r="E48" i="5" s="1"/>
  <c r="E40" i="5"/>
  <c r="H40" i="5" s="1"/>
  <c r="J41" i="5"/>
  <c r="D24" i="5"/>
  <c r="D51" i="5" s="1"/>
  <c r="H10" i="5"/>
  <c r="D27" i="5"/>
  <c r="D49" i="5" s="1"/>
  <c r="I21" i="5"/>
  <c r="D33" i="1" s="1"/>
  <c r="D64" i="1" s="1"/>
  <c r="C16" i="5"/>
  <c r="AA47" i="1"/>
  <c r="AA40" i="1"/>
  <c r="AA33" i="1"/>
  <c r="F25" i="5"/>
  <c r="I25" i="5" s="1"/>
  <c r="I27" i="5" s="1"/>
  <c r="J36" i="5"/>
  <c r="F36" i="5"/>
  <c r="I36" i="5" s="1"/>
  <c r="D35" i="5"/>
  <c r="D47" i="5" s="1"/>
  <c r="H39" i="5"/>
  <c r="F15" i="5"/>
  <c r="I15" i="5" s="1"/>
  <c r="F22" i="5"/>
  <c r="I22" i="5" s="1"/>
  <c r="H19" i="5"/>
  <c r="I6" i="5"/>
  <c r="E9" i="5"/>
  <c r="H9" i="5" s="1"/>
  <c r="F19" i="5"/>
  <c r="I19" i="5" s="1"/>
  <c r="F23" i="5"/>
  <c r="I23" i="5" s="1"/>
  <c r="C7" i="5"/>
  <c r="E4" i="5"/>
  <c r="E7" i="5" s="1"/>
  <c r="I3" i="5"/>
  <c r="D7" i="5"/>
  <c r="F27" i="5"/>
  <c r="F49" i="5" s="1"/>
  <c r="H21" i="5"/>
  <c r="E36" i="5"/>
  <c r="H36" i="5" s="1"/>
  <c r="C38" i="5"/>
  <c r="I18" i="5"/>
  <c r="H25" i="5"/>
  <c r="E27" i="5"/>
  <c r="E49" i="5" s="1"/>
  <c r="E22" i="5"/>
  <c r="E24" i="5" s="1"/>
  <c r="C24" i="5"/>
  <c r="C51" i="5" s="1"/>
  <c r="F4" i="5"/>
  <c r="F7" i="5" s="1"/>
  <c r="H13" i="5"/>
  <c r="E33" i="5"/>
  <c r="E35" i="5" s="1"/>
  <c r="C27" i="5"/>
  <c r="C49" i="5" s="1"/>
  <c r="H26" i="5"/>
  <c r="F14" i="5"/>
  <c r="I14" i="5" s="1"/>
  <c r="D16" i="5"/>
  <c r="F31" i="5"/>
  <c r="I31" i="5" s="1"/>
  <c r="E18" i="5"/>
  <c r="H18" i="5" s="1"/>
  <c r="D38" i="5"/>
  <c r="D48" i="5"/>
  <c r="F37" i="5"/>
  <c r="J37" i="5"/>
  <c r="C35" i="5"/>
  <c r="C47" i="5" s="1"/>
  <c r="M23" i="9"/>
  <c r="F41" i="5"/>
  <c r="I41" i="5" s="1"/>
  <c r="H32" i="5"/>
  <c r="C20" i="5"/>
  <c r="F34" i="5"/>
  <c r="I34" i="5" s="1"/>
  <c r="D20" i="5"/>
  <c r="H37" i="5" l="1"/>
  <c r="H38" i="5" s="1"/>
  <c r="J24" i="5"/>
  <c r="C52" i="5"/>
  <c r="J27" i="5"/>
  <c r="H20" i="5"/>
  <c r="E41" i="5"/>
  <c r="H41" i="5"/>
  <c r="J35" i="5"/>
  <c r="F20" i="5"/>
  <c r="F50" i="5" s="1"/>
  <c r="C33" i="1"/>
  <c r="H33" i="5"/>
  <c r="H35" i="5" s="1"/>
  <c r="H22" i="5"/>
  <c r="H24" i="5" s="1"/>
  <c r="I16" i="5"/>
  <c r="E16" i="5"/>
  <c r="F16" i="5"/>
  <c r="F52" i="5" s="1"/>
  <c r="F24" i="5"/>
  <c r="H16" i="5"/>
  <c r="E51" i="5"/>
  <c r="F53" i="5"/>
  <c r="F48" i="5"/>
  <c r="I37" i="5"/>
  <c r="E53" i="5"/>
  <c r="E47" i="5"/>
  <c r="C55" i="5"/>
  <c r="D52" i="5"/>
  <c r="D55" i="5" s="1"/>
  <c r="D17" i="5"/>
  <c r="D59" i="5"/>
  <c r="J16" i="5"/>
  <c r="D60" i="5"/>
  <c r="C65" i="5"/>
  <c r="D53" i="5"/>
  <c r="J7" i="5"/>
  <c r="C60" i="5"/>
  <c r="C53" i="5"/>
  <c r="E20" i="5"/>
  <c r="E60" i="5" s="1"/>
  <c r="C30" i="5"/>
  <c r="C50" i="5"/>
  <c r="F38" i="5"/>
  <c r="D42" i="5"/>
  <c r="E38" i="5"/>
  <c r="C42" i="5"/>
  <c r="N3" i="5"/>
  <c r="H4" i="5"/>
  <c r="H7" i="5" s="1"/>
  <c r="D50" i="5"/>
  <c r="D30" i="5"/>
  <c r="J20" i="5"/>
  <c r="F35" i="5"/>
  <c r="C59" i="5"/>
  <c r="I4" i="5"/>
  <c r="I7" i="5" s="1"/>
  <c r="H27" i="5"/>
  <c r="C17" i="5"/>
  <c r="E52" i="5" l="1"/>
  <c r="J30" i="5"/>
  <c r="I20" i="5"/>
  <c r="E17" i="5"/>
  <c r="C56" i="5"/>
  <c r="J59" i="5"/>
  <c r="Y72" i="1"/>
  <c r="F60" i="5"/>
  <c r="F17" i="5"/>
  <c r="I17" i="5" s="1"/>
  <c r="D44" i="5"/>
  <c r="D65" i="5" s="1"/>
  <c r="I60" i="5"/>
  <c r="H59" i="5"/>
  <c r="H60" i="5"/>
  <c r="H17" i="5"/>
  <c r="D57" i="5"/>
  <c r="F51" i="5"/>
  <c r="I24" i="5"/>
  <c r="E42" i="5"/>
  <c r="E59" i="5"/>
  <c r="F59" i="5"/>
  <c r="F42" i="5"/>
  <c r="C44" i="5"/>
  <c r="F30" i="5"/>
  <c r="J60" i="5"/>
  <c r="D56" i="5"/>
  <c r="I38" i="5"/>
  <c r="C53" i="1"/>
  <c r="C64" i="1" s="1"/>
  <c r="H30" i="5"/>
  <c r="F47" i="5"/>
  <c r="I35" i="5"/>
  <c r="J42" i="5"/>
  <c r="O20" i="5"/>
  <c r="H42" i="5"/>
  <c r="E30" i="5"/>
  <c r="E50" i="5"/>
  <c r="E56" i="5" s="1"/>
  <c r="E55" i="5"/>
  <c r="F56" i="5"/>
  <c r="D58" i="5" l="1"/>
  <c r="I30" i="5"/>
  <c r="I59" i="5"/>
  <c r="E57" i="5"/>
  <c r="E44" i="5"/>
  <c r="F55" i="5"/>
  <c r="F44" i="5"/>
  <c r="I42" i="5"/>
  <c r="O21" i="5"/>
  <c r="N30" i="5"/>
</calcChain>
</file>

<file path=xl/sharedStrings.xml><?xml version="1.0" encoding="utf-8"?>
<sst xmlns="http://schemas.openxmlformats.org/spreadsheetml/2006/main" count="911" uniqueCount="508">
  <si>
    <t>Tipul apelului de proiecte
(cu termen limită/cu depunere continuă până la finalizarea bugetului alocat)</t>
  </si>
  <si>
    <t>Total eligibil</t>
  </si>
  <si>
    <t>TOTAL</t>
  </si>
  <si>
    <t>din care UE</t>
  </si>
  <si>
    <t>Beneficiari eligibili*</t>
  </si>
  <si>
    <t>Data închiderii apelului de proiecte 
(luna)</t>
  </si>
  <si>
    <t>Necompetitiv (continuu)</t>
  </si>
  <si>
    <t>METROREX</t>
  </si>
  <si>
    <t>Aeroporturi prioritizate prin MPGT</t>
  </si>
  <si>
    <t>Competitiv cu depunere continua</t>
  </si>
  <si>
    <t>MMAP</t>
  </si>
  <si>
    <t>IGSU/alţi parteneri cu responsabilităţi în domeniu</t>
  </si>
  <si>
    <t>NA</t>
  </si>
  <si>
    <t>CNADNR</t>
  </si>
  <si>
    <t>Total apel rutier</t>
  </si>
  <si>
    <t>Total apel feroviar</t>
  </si>
  <si>
    <t>CNCF CFR SA/MT/ARF</t>
  </si>
  <si>
    <t>Total apel naval</t>
  </si>
  <si>
    <t xml:space="preserve">Axa Prioritară 3 </t>
  </si>
  <si>
    <t>Axa Prioritară 4</t>
  </si>
  <si>
    <t>Axa prioritară  6</t>
  </si>
  <si>
    <t>Axa Prioritară  7</t>
  </si>
  <si>
    <t>Schemă ajutor de stat aprobată prin HG</t>
  </si>
  <si>
    <t>UAT/societăți comerciale activitate producție de energie</t>
  </si>
  <si>
    <t>Operatori de distribuție /transport energie electrică</t>
  </si>
  <si>
    <t xml:space="preserve">Proiect de schemă ajutor de minimis </t>
  </si>
  <si>
    <t>Schemă de ajutor de stat care va fi aprobată prin HG</t>
  </si>
  <si>
    <t>Soc comerciale din industrie</t>
  </si>
  <si>
    <t>Autoritățile publice locale din localitățile selectate: Bacău, Botoșani, Focșani, Oradea, RM Vâlcea, Timișoara, Iași</t>
  </si>
  <si>
    <t>Municipiul București</t>
  </si>
  <si>
    <t xml:space="preserve">Exceptare cf Reg. 651/214 notificare individuală </t>
  </si>
  <si>
    <t>Schemă de ajutor de stat pentru infrastructura energetică (OM)</t>
  </si>
  <si>
    <t>AP 3, PI 6i, O.S. 3.1 Dezvoltarea infrastructurii de management integrat al deșeurilor</t>
  </si>
  <si>
    <t>AP 4, PI 6d, O.S. 4.1 Protejarea si imbunatatirea biodivesitatii</t>
  </si>
  <si>
    <t>Autorități publice/alte organisme publice, inclusiv structuri subordonate acestora pentru situri contaminate istoric</t>
  </si>
  <si>
    <t>AP 6, PI 4a, O.S. 6.1 Dezvoltarea infrastructurii de distribuție de energie din surse alternative</t>
  </si>
  <si>
    <t>Ajutor de stat/Schema de minimis/
Instrumente financiare</t>
  </si>
  <si>
    <t>Necesar</t>
  </si>
  <si>
    <t>Proiect</t>
  </si>
  <si>
    <t>Iniţial</t>
  </si>
  <si>
    <t>TRANSGAZ</t>
  </si>
  <si>
    <t>Brut NET</t>
  </si>
  <si>
    <t>Brut FEDR</t>
  </si>
  <si>
    <t>BRUT Total</t>
  </si>
  <si>
    <t>SUERD</t>
  </si>
  <si>
    <t>FC</t>
  </si>
  <si>
    <t>FEDR</t>
  </si>
  <si>
    <t>Rezerva</t>
  </si>
  <si>
    <t>BRUT</t>
  </si>
  <si>
    <t>NET</t>
  </si>
  <si>
    <t>FC Rezerva</t>
  </si>
  <si>
    <t>FEDR Rezerva</t>
  </si>
  <si>
    <t>OT7 C</t>
  </si>
  <si>
    <t>OT7 FEDR</t>
  </si>
  <si>
    <t>OT6 FEDR</t>
  </si>
  <si>
    <t>OT6 FC</t>
  </si>
  <si>
    <t>OT5 FC</t>
  </si>
  <si>
    <t>OT 4 FC</t>
  </si>
  <si>
    <t>OT4 FEDR</t>
  </si>
  <si>
    <t>Total POIM</t>
  </si>
  <si>
    <t>Total</t>
  </si>
  <si>
    <t>1,94% FEDR OT 7</t>
  </si>
  <si>
    <t>Total AP8</t>
  </si>
  <si>
    <t>OS 8.2 Creşterea flexibilităţii Sistemului Naţional de Transport al gazelor naturale din România în vederea eficientizării serviciilor furnizate</t>
  </si>
  <si>
    <t xml:space="preserve">OS 8.1. Extinderea şi consolidarea rețelei electrice de transport pentru asigurarea stabilităţii Sistemului Energetic Național </t>
  </si>
  <si>
    <t>AP 8. Sisteme de transport energie inteligente şi sustenabile</t>
  </si>
  <si>
    <t>Total AP 7</t>
  </si>
  <si>
    <t>OS 7.2. Cresterea eficietei energetice prin modernizarea sistemului centralizat de furnizare a energiei termice în Municipiul Bucuresti</t>
  </si>
  <si>
    <t>OS 7.1. Cresterea eficientei energetice prin modernizarea sistemelor centralizate de producere, transport si distributie a energiei termice  în orasele selectate</t>
  </si>
  <si>
    <t>AP 7. Creşterea eficienței energetice la nivelul sistemului centralizat de termoficare în orașele selectate</t>
  </si>
  <si>
    <t>68,7% FEDR OT 4</t>
  </si>
  <si>
    <t>Total AP6</t>
  </si>
  <si>
    <t>OS 6.4.Creşterea eficienţei energetice în industrie prin promovarea consumului de energie produsă în sisteme de cogenerare de înaltă eficienţă</t>
  </si>
  <si>
    <t>7.g Promovarea utilizării cogenerării cu randament ridicat a energiei termice și a energiei electrice, pe baza cererii de energie termică utilă</t>
  </si>
  <si>
    <t>OS 6.3.Creşterea eficienţei energetice prin implementarea sistemelor de măsurare inteligentă la rețelele electrice de joasă tensiune</t>
  </si>
  <si>
    <t>OS 6.2. Creşterea eficienţei energetice prin monitorizare a consumului de energie la nivelul consumatorilor industriali</t>
  </si>
  <si>
    <t>OS 6.1. Creşterea consumului de energie din resurse regenerabile prin noi capacităţi de producţie de energie din resurse regenerabile mai puţin exploatate</t>
  </si>
  <si>
    <t>7.a Promovarea producției și a distribuției de energie obținută din surse regenerabile de energie</t>
  </si>
  <si>
    <t>4. Sprijinirea tranziţiei către emisii scăzute de carbon în toate sectoarele</t>
  </si>
  <si>
    <t>AP 6.Promovarea energiei curate şi eficienţei energetice în vederea susținerii unei economii cu emisii scăzute de carbon</t>
  </si>
  <si>
    <t xml:space="preserve"> 100% FC OT 5</t>
  </si>
  <si>
    <t>Total AP 5</t>
  </si>
  <si>
    <t>OS 5.2. Creşterea gradului de pregătire pentru intervenţiile la dezastre prin susţinerea autorităţilor implicate în managementul situaţiilor de criză</t>
  </si>
  <si>
    <t>OS 5.1. Reducerea efectelor şi a pagubelor asupra populaţiei cauzate de riscurile generate de schimbările climatice</t>
  </si>
  <si>
    <t>5.i.Sprijinirea investiţiilor pentru adaptarea la schimbările climatice, inclusiv a unor abordări bazate pe ecosistem</t>
  </si>
  <si>
    <t>5.Promovarea adaptării la schimbările climatice, prevenirea şi gestionarea riscurilor</t>
  </si>
  <si>
    <t>AP 5. Promovarea adaptării la schimbările climatice, prevenirea şi gestionarea riscurilor</t>
  </si>
  <si>
    <t>100%FEDR OT 6</t>
  </si>
  <si>
    <t>Total AP 4</t>
  </si>
  <si>
    <t xml:space="preserve">OS 4.3. Reducerea suprafețelor poluate istoric </t>
  </si>
  <si>
    <t>OS 4.2. Creşterea nivelului de evaluare şi monitorizare a calităţii aerului la nivel naţional prin dezvoltarea instrumentelor de monitorizare</t>
  </si>
  <si>
    <t xml:space="preserve">4.iv  Realizarea de acțiuni destinate îmbunătățirii mediului urban, revitalizării orașelor, regenerării și decontaminării terenurilor industriale dezafectate (inclusiv a zonelor de reconversie) şi reducerii poluării aerului </t>
  </si>
  <si>
    <t>OS 4.1. Monitorizarea şi menţinerea stării de conservare a speciilor şi habitatelor de importanţă comunitară, fie la nivel naţional, fie la nivel de sit</t>
  </si>
  <si>
    <t>4.iii. Protejarea şi refacerea biodiversităţii, protecţia solului şi refacerea şi promovarea serviciilor ecosistemelor, inclusiv prin reţeaua NATURA 2000 şi infrastructurile verzi</t>
  </si>
  <si>
    <t>6. Protecţia mediului şi promovarea utilizării eficiente a resurselor</t>
  </si>
  <si>
    <t xml:space="preserve">AP 4 . Protejarea şi refacerea biodiversităṭii, remedierea solurilor contaminate şi monitorizarea calitatii aerului </t>
  </si>
  <si>
    <t>100% FC OT 6</t>
  </si>
  <si>
    <t>Total AP 3</t>
  </si>
  <si>
    <t>OS 3.2. Creşterea nivelului de colectare şi epurare a apelor uzate urbane şi creşterea gradului de asigurare a alimentării cu apă potabilă a populaţiei</t>
  </si>
  <si>
    <t>4.i. Investiţii în sectorul deşeuri pentru a îndeplini cerinţele acquis-ului de mediu al Uniunii şi pentru a răspunde nevoilor identificate de statele membre pentru investiţii suplimentare acestor cerinţe</t>
  </si>
  <si>
    <t>OS 3.1. Creşterea capacităţii sistemelor de management integrat al deşeurilor, în vederea creării premiselor reutilizării şi reciclării acestora</t>
  </si>
  <si>
    <t>AP 3. Dezvoltarea infrastructurii de mediu în condiţii de management eficient al resurselor</t>
  </si>
  <si>
    <t>TOTAL TRANSPORT</t>
  </si>
  <si>
    <t>Total AP 2</t>
  </si>
  <si>
    <t xml:space="preserve">OS 2.7. Creşterea sustenabilităţii şi calităţii transportului feroviar prin măsuri de reformă şi modernizare a reţelei şi serviciilor </t>
  </si>
  <si>
    <t>OS 2.6. Fluidizarea traficului în vamă la punctele de ieșire din țară</t>
  </si>
  <si>
    <t xml:space="preserve">OS 2.5. Creşterea gradului de siguranţă şi securitate pe toate modurile de transport şi reducerea impactului transporturilor asupra mediului </t>
  </si>
  <si>
    <t>7.c. Dezvoltarea și îmbunătățirea unor sisteme de transport care respectă mediul, inclusiv a celor cu zgomot redus, și care au emisii reduse de carbon, inclusiv a căilor navigabile interioare și a sistemelor de transport maritim, a porturilor, a legăturilor multimodale și infrastructurilor aeroportuare, cu scopul de a promova mobilitatea durabilă la nivel regional și local</t>
  </si>
  <si>
    <t>7. Promovarea sistemelor de transport durabile şi eliminarea blocajelor din cadrul infrastructurilor reţelelor majore</t>
  </si>
  <si>
    <t xml:space="preserve">OS 2.4. Creşterea capacităţii transportului intermodal </t>
  </si>
  <si>
    <t>OS 2.3 Creşterea accesibilităţii  regionale prin modernizarea sustenabila a aeroporturilor</t>
  </si>
  <si>
    <t>OS 2.2. Creşterea accesibilităţii regionale prin conectarea regiunilor izolate la infrastructura rutieră a TEN-T</t>
  </si>
  <si>
    <t>OS 2.1. Creşterea mobilității prin dezvoltarea transportului rutier pe reţeaua TEN-T global</t>
  </si>
  <si>
    <t>7.b. Stimularea mobilității regionale prin conectarea nodurilor secundare și terțiare la infrastructura TEN-T, inclusiv a nodurilor multimodale</t>
  </si>
  <si>
    <t>AP 2. Creşterea  mobilităţii regionale prin conectarea la TEN-T centrală</t>
  </si>
  <si>
    <t>Total fazare</t>
  </si>
  <si>
    <t>Total Fazare AP 1</t>
  </si>
  <si>
    <t>100% FC OT 7</t>
  </si>
  <si>
    <t>Total AP 1</t>
  </si>
  <si>
    <t>OS 1.4 Creșterea atractivității rețelei de metrou în București prin dezvoltarea infrastructurii și serviciilor aferente</t>
  </si>
  <si>
    <t>OS 1.3 Creşterea mobilităţii prin dezvoltarea căilor navale și a porturilor pe reţeaua TEN-T centrală</t>
  </si>
  <si>
    <t>aprox. 110 mil</t>
  </si>
  <si>
    <t>OS 1.2. Creşterea mobilităţii pe reţeaua feroviară TEN-T centrală</t>
  </si>
  <si>
    <t>OS 1.1. Creşterea mobilităţii pe reţeaua rutieră TEN-T centrală</t>
  </si>
  <si>
    <t>AP1. Îmbunătăţirea mobilităţii prin dezvoltarea reţelei TEN-T pe teritoriul României și a trasnportului cu metroul</t>
  </si>
  <si>
    <t>Obiective specifice corespunzătoare priorităţii de investiţii</t>
  </si>
  <si>
    <t>Priorităţi de investiţii</t>
  </si>
  <si>
    <t>Obiectiv tematic</t>
  </si>
  <si>
    <t>Alocare rezerva</t>
  </si>
  <si>
    <t>TOTAL BRUT</t>
  </si>
  <si>
    <t>TOTAL NET</t>
  </si>
  <si>
    <t>Ponderea sprijinului total al UE pentru PO</t>
  </si>
  <si>
    <t>Cofinantare publica nationala bruta</t>
  </si>
  <si>
    <t>Cofinantare publica nationala neta</t>
  </si>
  <si>
    <t>Alocare UE cu rezerva</t>
  </si>
  <si>
    <t>Alocare UE neta</t>
  </si>
  <si>
    <t>Fond</t>
  </si>
  <si>
    <t>Axa prioritară</t>
  </si>
  <si>
    <t>Cu depunere continuă, pe bază de liste de proiecte preidentificate</t>
  </si>
  <si>
    <t>Mai 2016</t>
  </si>
  <si>
    <t>Iunie 2016</t>
  </si>
  <si>
    <t>Calendar orientativ lansări Programul Operational Infrastructura Mare 2014-2020</t>
  </si>
  <si>
    <t>Valoare apel de proiecte (euro)</t>
  </si>
  <si>
    <t>CFR/MT/Autoritatea pentru Reforma Feroviara (dupa implementare)</t>
  </si>
  <si>
    <t>TRANSPORTURI (Axa Prioritară 1 si Axa Prioritară 2)</t>
  </si>
  <si>
    <t>Rutier (drumuri si autostrazi)</t>
  </si>
  <si>
    <t>Feroviar (cai ferate)</t>
  </si>
  <si>
    <t>Administratii portuare/ Administratii de canale navigabile</t>
  </si>
  <si>
    <t>Metrou</t>
  </si>
  <si>
    <t>Aeroporturi</t>
  </si>
  <si>
    <t>Iulie 2016 (dupa finalizarea revizuirii capitolului aerian din MPGT)</t>
  </si>
  <si>
    <t>Prioritate de investitii</t>
  </si>
  <si>
    <t>Tipul apelului de proiecte</t>
  </si>
  <si>
    <t>Dezvoltare terminale intermodale</t>
  </si>
  <si>
    <t>Iulie 2016 (dupa finalizare sudiu JASPERS)</t>
  </si>
  <si>
    <t>Aeroporturi (in ordinea prioritizarii din MPGT)</t>
  </si>
  <si>
    <t>Autoritati locale, Operatori de terminale intermodale</t>
  </si>
  <si>
    <t>Administratori infrastructura de transport, Politia rutiera, Politia transporturi</t>
  </si>
  <si>
    <t>MT, ANAF, operatorul de infrastructura la punctul de trecere al frontierei, Politia Rutiera, Politia Transporturi</t>
  </si>
  <si>
    <t>MEDIU (Axa Prioritară 3, Axa Prioritară 4 si Axa prioritară 5)</t>
  </si>
  <si>
    <t>Managementul deseurilor</t>
  </si>
  <si>
    <t>Lansat (Aprilie 2016)</t>
  </si>
  <si>
    <t>Lansat (Martie 2016)</t>
  </si>
  <si>
    <t>Biodiversitate</t>
  </si>
  <si>
    <t>Infrastructură de apă și apă uzată</t>
  </si>
  <si>
    <t>Consilii judetene (pentru Asociatii de Dezvoltare Comunitara)</t>
  </si>
  <si>
    <t>Operatori Regionali de Apă</t>
  </si>
  <si>
    <t>Custozi/Administratori ai ariilor naturale protejate,ONG/institute de cercetare/universităţi/autorităţi ale administraţiei publice centrale-locale</t>
  </si>
  <si>
    <t>Refacerea ecosistemelor degradate</t>
  </si>
  <si>
    <t>Necompetititv (cu depunere continuă pe bază de liste de proiecte preidentificate)</t>
  </si>
  <si>
    <t>Competitiv (cu depunere continua)</t>
  </si>
  <si>
    <t>Aprilie 2017 (dupa finalizare studiu MMAP)</t>
  </si>
  <si>
    <t>De definit in urma studiului MMAP</t>
  </si>
  <si>
    <t>Monitorizarea calității aerului</t>
  </si>
  <si>
    <t>Reducere suprafețe poluate istoric</t>
  </si>
  <si>
    <t xml:space="preserve">Autorități publice/alte organisme publice, inclusiv structuri subordonate acestora </t>
  </si>
  <si>
    <t>Reducere efecte inundații si eroziune costiera</t>
  </si>
  <si>
    <t>MMAP-ANAR (Administratia Nationala Apele Romane)</t>
  </si>
  <si>
    <t xml:space="preserve"> Alte riscuri (fondurile ramase necontractate pana in ferbuarie 2017 pentru inundatii si eroziune costiera)</t>
  </si>
  <si>
    <t>MMAP-ANAR, alti potentiali beneficiari identificati prin Evaluarea Nationala a Riscurilor</t>
  </si>
  <si>
    <t>Aprilie 2017 (dupa finalizarea Evaluarii Nationale a Riscurilor)</t>
  </si>
  <si>
    <t>Îmbunătățire reacție la dezastre (proiecte no-regret)</t>
  </si>
  <si>
    <t>IGSU/alti parteneri cu responsabilitati in domeniu</t>
  </si>
  <si>
    <t xml:space="preserve">Lansat (Aprilie 2016 )                    </t>
  </si>
  <si>
    <t xml:space="preserve"> Îmbunătățire reacție la dezastre (Riscuri identificate prin evaluarea nationala a riscurilor)</t>
  </si>
  <si>
    <t>Creșterea producției de energie din surse alternative (geotermal, biomasa, biogaz)</t>
  </si>
  <si>
    <t>Dezvoltarea infrastructurii de distribuție de energie din surse alternative</t>
  </si>
  <si>
    <t>Monitorizarea consumului energie pentru consumatori industriali</t>
  </si>
  <si>
    <t>Contorizare inteligenta</t>
  </si>
  <si>
    <t>Societăți comerciale din industrie consumuri de peste 1000 tep (tone echivalent petrol)/an</t>
  </si>
  <si>
    <t xml:space="preserve"> Cogenerare de inalta eficienta</t>
  </si>
  <si>
    <t>Societati comerciale din industrie</t>
  </si>
  <si>
    <t>Dezvoltarea infrastructurii de termoficare in orașe selectate</t>
  </si>
  <si>
    <t>Bucuresti, Bacău, Botoșani, Focșani, Oradea, RM Vâlcea, Timișoara, Iași</t>
  </si>
  <si>
    <t>Dezvoltarea infrastructurii de transport energie electrică și gaze</t>
  </si>
  <si>
    <t>Transelectrica si Transgaz</t>
  </si>
  <si>
    <t>Total lansat:</t>
  </si>
  <si>
    <t>transporturi</t>
  </si>
  <si>
    <t>mediu</t>
  </si>
  <si>
    <t>euro, din care:</t>
  </si>
  <si>
    <t>energie</t>
  </si>
  <si>
    <t>Total lansari estimate mai 2016:</t>
  </si>
  <si>
    <t>Total lansari estimate iunie 2016:</t>
  </si>
  <si>
    <t>Total lansari estimate iulie 2016:</t>
  </si>
  <si>
    <t>Total lansari estimate 2017:</t>
  </si>
  <si>
    <t>Data estimativă a lansării ghidului</t>
  </si>
  <si>
    <t>Beneficiar eligibil</t>
  </si>
  <si>
    <t>ENERGIE (Axa Prioritară 6, Axa Prioritară 7, Axa prioritară 8)</t>
  </si>
  <si>
    <t>Investiții în infrastructura de trecere a punctelor de comunicare transnațională</t>
  </si>
  <si>
    <t>Imbuntatire siguranta pe toate modurile de transport si conditii de mediu</t>
  </si>
  <si>
    <t>Naval (porturi și îmbunătățire a condițiilor de navigație)</t>
  </si>
  <si>
    <t>Operatori de distribuție /concesionari ai servicului public de energie electrică</t>
  </si>
  <si>
    <t>Necompetitiv                             (cu depunere continuă, pe bază de liste de proiecte preidentificate)</t>
  </si>
  <si>
    <t>Necompetitiv (cu depunere continuă, pe bază de liste de proiecte preidentificate)</t>
  </si>
  <si>
    <t>Necompetitiv                                    (cu depunere continuă, pe bază de liste de proiecte preidentificate)</t>
  </si>
  <si>
    <t>Necompetitiv                              (cu depunere continuă, pe bază de liste de proiecte preidentificate)</t>
  </si>
  <si>
    <t>Societăți comerciale din industrie consumuri de peste 1000 tep(tone echivalent petrol)/an</t>
  </si>
  <si>
    <t>Cu depunere continua, pe baza de liste proiecte preidentificate</t>
  </si>
  <si>
    <t>Anexa 2.1</t>
  </si>
  <si>
    <t>Situația stadiului implementării Programului Operațional Infrastructura Mare</t>
  </si>
  <si>
    <t>cut off date 16.09.2016</t>
  </si>
  <si>
    <t>PO</t>
  </si>
  <si>
    <t>Denumire proiect/beneficiar</t>
  </si>
  <si>
    <t xml:space="preserve">BAZA DE CALCUL 
a contribuţiei comunitare
</t>
  </si>
  <si>
    <t>ALOCARE</t>
  </si>
  <si>
    <t>Rata                 de co-finanțare
%</t>
  </si>
  <si>
    <t>PROIECTE DEPUSE</t>
  </si>
  <si>
    <t>PROIECTE RESPINSE</t>
  </si>
  <si>
    <t>PROIECTE APROBATE</t>
  </si>
  <si>
    <t>CONTRACTE/ DECIZII DE FINANŢARE CU BENEFICIARII</t>
  </si>
  <si>
    <t>CONTRACTE REZILIATE</t>
  </si>
  <si>
    <t>CONTRACTE FINALIZATE</t>
  </si>
  <si>
    <t xml:space="preserve">CONTRACTE ÎN IMPLEMENTARE                                       </t>
  </si>
  <si>
    <t>PROCEDURI DE ACHIZIȚIE PUBLICĂ</t>
  </si>
  <si>
    <r>
      <t>TOTALĂ</t>
    </r>
    <r>
      <rPr>
        <b/>
        <sz val="10"/>
        <color rgb="FFFF0000"/>
        <rFont val="Calibri"/>
        <family val="2"/>
        <charset val="238"/>
        <scheme val="minor"/>
      </rPr>
      <t xml:space="preserve">                      
a finanțării nerambursabile (contribuție UE + buget de stat)</t>
    </r>
    <r>
      <rPr>
        <b/>
        <sz val="10"/>
        <color theme="1"/>
        <rFont val="Calibri"/>
        <family val="2"/>
        <charset val="238"/>
        <scheme val="minor"/>
      </rPr>
      <t xml:space="preserve">
</t>
    </r>
  </si>
  <si>
    <t>din care, UE</t>
  </si>
  <si>
    <t>Nr.</t>
  </si>
  <si>
    <r>
      <t xml:space="preserve">Valoare totală </t>
    </r>
    <r>
      <rPr>
        <b/>
        <sz val="10"/>
        <color rgb="FFFF0000"/>
        <rFont val="Calibri"/>
        <family val="2"/>
        <charset val="238"/>
        <scheme val="minor"/>
      </rPr>
      <t>eligibilă</t>
    </r>
    <r>
      <rPr>
        <b/>
        <sz val="10"/>
        <color theme="1"/>
        <rFont val="Calibri"/>
        <family val="2"/>
        <charset val="238"/>
        <scheme val="minor"/>
      </rPr>
      <t xml:space="preserve">
(Lei)</t>
    </r>
  </si>
  <si>
    <t>Contribuţie UE (Lei)</t>
  </si>
  <si>
    <t>Rata de depunere                  %</t>
  </si>
  <si>
    <r>
      <t xml:space="preserve">Valoare totală </t>
    </r>
    <r>
      <rPr>
        <b/>
        <sz val="10"/>
        <color rgb="FFFF0000"/>
        <rFont val="Calibri"/>
        <family val="2"/>
        <charset val="238"/>
        <scheme val="minor"/>
      </rPr>
      <t xml:space="preserve">eligibilă </t>
    </r>
    <r>
      <rPr>
        <b/>
        <sz val="10"/>
        <color theme="1"/>
        <rFont val="Calibri"/>
        <family val="2"/>
        <charset val="238"/>
        <scheme val="minor"/>
      </rPr>
      <t>(Lei)</t>
    </r>
  </si>
  <si>
    <t>Rata de respingere   %</t>
  </si>
  <si>
    <t>Rata de aprobare             %</t>
  </si>
  <si>
    <t xml:space="preserve">Valoare totală eligibilă (Lei) </t>
  </si>
  <si>
    <r>
      <t xml:space="preserve">Valoare </t>
    </r>
    <r>
      <rPr>
        <b/>
        <sz val="10"/>
        <color rgb="FFFF0000"/>
        <rFont val="Calibri"/>
        <family val="2"/>
        <charset val="238"/>
        <scheme val="minor"/>
      </rPr>
      <t xml:space="preserve">contribuție nerambursabilă </t>
    </r>
    <r>
      <rPr>
        <b/>
        <sz val="10"/>
        <color theme="1"/>
        <rFont val="Calibri"/>
        <family val="2"/>
        <charset val="238"/>
        <scheme val="minor"/>
      </rPr>
      <t xml:space="preserve">
(Lei)</t>
    </r>
  </si>
  <si>
    <t xml:space="preserve">din care:                                                               </t>
  </si>
  <si>
    <t>Contribuţie proprie beneficiar
(Lei)</t>
  </si>
  <si>
    <t xml:space="preserve">Rata de contractare UE    %  </t>
  </si>
  <si>
    <t>Rata de contractare            %</t>
  </si>
  <si>
    <r>
      <t xml:space="preserve">Valoare totală 
</t>
    </r>
    <r>
      <rPr>
        <b/>
        <sz val="10"/>
        <color rgb="FFFF0000"/>
        <rFont val="Calibri"/>
        <family val="2"/>
        <charset val="238"/>
        <scheme val="minor"/>
      </rPr>
      <t xml:space="preserve">eligibilă </t>
    </r>
    <r>
      <rPr>
        <b/>
        <sz val="10"/>
        <rFont val="Calibri"/>
        <family val="2"/>
        <charset val="238"/>
        <scheme val="minor"/>
      </rPr>
      <t>(</t>
    </r>
    <r>
      <rPr>
        <b/>
        <sz val="10"/>
        <color theme="1"/>
        <rFont val="Calibri"/>
        <family val="2"/>
        <charset val="238"/>
        <scheme val="minor"/>
      </rPr>
      <t>Lei)</t>
    </r>
  </si>
  <si>
    <t>Rata                    de reziliere             %</t>
  </si>
  <si>
    <t>Rata de finalizare        %</t>
  </si>
  <si>
    <r>
      <t xml:space="preserve"> Valoare </t>
    </r>
    <r>
      <rPr>
        <b/>
        <sz val="10"/>
        <color rgb="FFFF0000"/>
        <rFont val="Calibri"/>
        <family val="2"/>
        <charset val="238"/>
        <scheme val="minor"/>
      </rPr>
      <t>totală eligibilă</t>
    </r>
    <r>
      <rPr>
        <b/>
        <sz val="10"/>
        <color theme="1"/>
        <rFont val="Calibri"/>
        <family val="2"/>
        <charset val="238"/>
        <scheme val="minor"/>
      </rPr>
      <t xml:space="preserve">
(Lei)</t>
    </r>
  </si>
  <si>
    <t xml:space="preserve">PROCEDURI 
prevăzute în contractele în implementare* </t>
  </si>
  <si>
    <t>PROCEDURI LANSATE</t>
  </si>
  <si>
    <t>CONTRACTE SEMNATE</t>
  </si>
  <si>
    <t>Contribuţie UE
(Lei)</t>
  </si>
  <si>
    <t>Contribuţie naţională
(Lei)</t>
  </si>
  <si>
    <r>
      <t xml:space="preserve">Valoare totală
</t>
    </r>
    <r>
      <rPr>
        <b/>
        <sz val="10"/>
        <color rgb="FFFF0000"/>
        <rFont val="Calibri"/>
        <family val="2"/>
        <charset val="238"/>
        <scheme val="minor"/>
      </rPr>
      <t xml:space="preserve">eligibilă  </t>
    </r>
    <r>
      <rPr>
        <b/>
        <sz val="10"/>
        <color theme="1"/>
        <rFont val="Calibri"/>
        <family val="2"/>
        <charset val="238"/>
        <scheme val="minor"/>
      </rPr>
      <t>(Lei)</t>
    </r>
  </si>
  <si>
    <t>Rata procedurilor lansate
%</t>
  </si>
  <si>
    <t>Rata de contractare achiziții
%</t>
  </si>
  <si>
    <t xml:space="preserve">EURO </t>
  </si>
  <si>
    <t>Lei</t>
  </si>
  <si>
    <t>11=10/6*100</t>
  </si>
  <si>
    <t>15=14/10*100</t>
  </si>
  <si>
    <t>19=18/6*100</t>
  </si>
  <si>
    <t>21=22+25</t>
  </si>
  <si>
    <t>22=23+24/25**</t>
  </si>
  <si>
    <t>26=23/6*100</t>
  </si>
  <si>
    <t>27=22/4*100</t>
  </si>
  <si>
    <t>31=30/23*100</t>
  </si>
  <si>
    <t>35=34/23*100</t>
  </si>
  <si>
    <t>36=20-(28+32)</t>
  </si>
  <si>
    <t>37=21-(29+33)</t>
  </si>
  <si>
    <t>44=43/40*100</t>
  </si>
  <si>
    <t>48=47/40*100</t>
  </si>
  <si>
    <t>AXA PRIORITARĂ AP 3</t>
  </si>
  <si>
    <t>public</t>
  </si>
  <si>
    <t>Sistem de management integrat al deșeurilor în județul Tulcea/  Consiliul Județen Tulcea</t>
  </si>
  <si>
    <t>AP3, PI 6ii, O.S. 3.2 Dezvoltarea infrastructurii de apă și apă uzată</t>
  </si>
  <si>
    <t xml:space="preserve"> Sprijin pentru pregătirea aplicatiei de finanțare și a documentațiilor de atribuire pentru proiectul regional de dezvoltare a infrastructurii de apa si apa uzata din judetul Galati, in perioada 2014-2020    /Societatea Apă Canal S.A. Galați</t>
  </si>
  <si>
    <t>AXA PRIORITARĂ AP 4</t>
  </si>
  <si>
    <t xml:space="preserve">Axa Prioritară 5 </t>
  </si>
  <si>
    <t>AP 5, PI 5i, OS 5.2 Creșterea nivelului de pregătire pentru o  o reacție rapidă și eficientă la dezastre a echipajelor de intervenție.</t>
  </si>
  <si>
    <t xml:space="preserve">Răspunsul eficient salvează vieți II/ Inspectoratul General pentru Situații de Urgență
</t>
  </si>
  <si>
    <t>Total FEDR</t>
  </si>
  <si>
    <t>Total FSE</t>
  </si>
  <si>
    <t>Total FC</t>
  </si>
  <si>
    <t>Total General</t>
  </si>
  <si>
    <t>* fără achiziții directe</t>
  </si>
  <si>
    <t>(1 Euro= 4,4639)</t>
  </si>
  <si>
    <t>**Pentru beneficiarii finantati de la bugetul de stat, contributia proprie este contributie publica si se calculeaza la valoarea contributiei nerambursabile contractate</t>
  </si>
  <si>
    <t>CNAIR</t>
  </si>
  <si>
    <t>Necompetitiv( cu depunere continua pe baza de liste de proiecte preidentificate)</t>
  </si>
  <si>
    <t>autoritati publice locale</t>
  </si>
  <si>
    <t>ANAR</t>
  </si>
  <si>
    <t>Axa Prioritară 1 si Axa Prioritara 2 (transport)</t>
  </si>
  <si>
    <t>MM</t>
  </si>
  <si>
    <t>Axa Prioritară 5</t>
  </si>
  <si>
    <t>Axa Prioritară 8</t>
  </si>
  <si>
    <t>Situația ghidurilor si a lansărilor de apeluri în cadrul POIM 2014 - 2020</t>
  </si>
  <si>
    <t>Alocare (cu rezerva de performanță) euro conform POIM aprobat</t>
  </si>
  <si>
    <t>MT, ANAF, operatorul infrastructura la punctul de trecere a frontierei, Politia Rutieră/Poliţia Transporturi, Poliţia de frontieră</t>
  </si>
  <si>
    <t>Operatori concesionari de distributie energie electrica</t>
  </si>
  <si>
    <t>31.12.2020</t>
  </si>
  <si>
    <t>AP 1, PI 7ii, OS 1.4 Creşterea gradului de utilizare a transportului cu metroul în București-Ilfov</t>
  </si>
  <si>
    <t>AP 2, PI 75,O.S. 2.5 Creşterea gradului de siguranţă şi securitate pe toate modurile de transport şi reducerea impactului transporturilor asupra mediului</t>
  </si>
  <si>
    <t>AP 2, PI 7C, O.S. 2.6 Reducerea timpului de staţionare la punctele de comunicare transnaţională</t>
  </si>
  <si>
    <t>AP 3, O.S. 3.2 Creşterea nivelului de colectare şi epurare a apelor uzate urbane, precum şi a gradului de asigurare a alimentării cu apă potabilă a populaţiei</t>
  </si>
  <si>
    <t>AP 4, PI 6e,O.S. 4.2 Creşterea nivelului de evaluare şi monitorizare a calităţii aerului la nivel naţional</t>
  </si>
  <si>
    <t>AP 5, PI 5i,  O S 5.1 - Reducerea efectelor şi a pagubelor asupra populaţiei cauzate de fenomenele naturale asociate principalelor riscuri accentuate de schimbările climatice, în principal de inundaţii şi eroziune costieră</t>
  </si>
  <si>
    <t>AP 5, PI 5ii,  OS 5.2 Creșterea nivelului de pregătire pentru o reacție rapidă și eficientă la dezastre a echipajelor de intervenție</t>
  </si>
  <si>
    <t>AP 5, PI 5ii, OS 5.2 Creșterea nivelului de pregătire pentru o reacție rapidă și eficientă la dezastre a echipajelor de intervenție (Riscuri identificate prin evaluarea nationala a riscurilor)</t>
  </si>
  <si>
    <t>AP 6, PI 4a,O.S. 6.1 Creşterea producţiei de energie din resurse regenerabile mai puţin exploatate (biomasă, biogaz, geotermal)</t>
  </si>
  <si>
    <t>AP 6, PI 4b, O.S. 6.2 Reducerea consumului de energie la nivelul consumatorilor industriali</t>
  </si>
  <si>
    <t>AP 6, PI 4d,O.S. 6.3 - Reducerea consumul ui mediu de energie electrică la nivelul locuinţelor</t>
  </si>
  <si>
    <t>AP 6, PI 4g, O.S. 6.4 - Creşterea economiilor în consumul de energie primară produsă prin cogenerare de înaltă eficienţă</t>
  </si>
  <si>
    <t>AP 7, PI 4c, O.S. 7.1 Creşterea eficienţei energetice în sistemele centralizate de transport şi distribuţie a energiei termice în oraşele selectate -  FEDR</t>
  </si>
  <si>
    <t>AP 7, PI 4iii, O.S. 7.2 Dezvoltarea infrastructurii de termoficare in orașe selectate -  FC</t>
  </si>
  <si>
    <t>AP 8, PI  7e, O.S.  8.1 şi O.S. 8.2 - Sisteme inteligente şi sustenabile de transport al energiei electrice  şi  gazelor naturale</t>
  </si>
  <si>
    <t>31.12.2022</t>
  </si>
  <si>
    <t xml:space="preserve"> Asociatiile de Dezvoltare Comunitara prin Consiliile Judeţene/Ministerul Mediului/Administratia Fondului pentrru Mediu</t>
  </si>
  <si>
    <t>Competitiv cu depunere continua/               Necompetitiv pentru apelul ce urmează a fi relansat</t>
  </si>
  <si>
    <t>30.06.2017</t>
  </si>
  <si>
    <t>Apel în pregătire / deschis / închis</t>
  </si>
  <si>
    <t>deschis</t>
  </si>
  <si>
    <t>închis</t>
  </si>
  <si>
    <t>AP 3, OS 3.1 Reducerea numărului depozitelor neconforme şi creşterea gradului de pregătire pentru reciclare a deşeurilor în România</t>
  </si>
  <si>
    <t>31.12.2018</t>
  </si>
  <si>
    <t xml:space="preserve"> 31.03.2016</t>
  </si>
  <si>
    <t>30.06.2018</t>
  </si>
  <si>
    <t>Schemă ajutor de stat aprobată prin Ordinul MT nr. 1532/17.10.2017</t>
  </si>
  <si>
    <t xml:space="preserve"> apelul de proiecte fazate lansat in 30.05.2016 / relansat în 21.02.2017 </t>
  </si>
  <si>
    <t>11.01.2018</t>
  </si>
  <si>
    <t>15.01.2017</t>
  </si>
  <si>
    <t xml:space="preserve">apelul de proiecte fazate lansat in 30.05.2016 / relansat în 30.05.2017 </t>
  </si>
  <si>
    <t>revizuit și aprobat prin Decizia DG OIT nr. 48/09.10.2017+ revizuit prin Decizia DGOIT nr.66/20.12.2018</t>
  </si>
  <si>
    <t xml:space="preserve">apelul a fost lansat în 25.07.2017 / relansat în 12.10.2017
</t>
  </si>
  <si>
    <t>apelul de proiecte noi lansat în 30.05.2016 / relansat în 25.07.2017</t>
  </si>
  <si>
    <t>apelul de proiecte noi lansat în 10.01.2018</t>
  </si>
  <si>
    <t xml:space="preserve"> apelul de proiecte fazate lansat în 19.09.2016</t>
  </si>
  <si>
    <t xml:space="preserve"> apelul de proiecte fazate lansat în 30.05.2016 / relansat în 21.02.2017 </t>
  </si>
  <si>
    <t>apelul de proiecte noi lansat în 30.05.2016 / relansat în 11.07.2017</t>
  </si>
  <si>
    <t>Data lansării ghidurilor în consultare publică 
 / aprobării</t>
  </si>
  <si>
    <t xml:space="preserve"> Ghidul a fost revizuit și aprobat prin Decizia DG OIT nr. 6/06.02.2017+revizuit prin Decizia DGOIT nr.64/20.12.2018</t>
  </si>
  <si>
    <t>Ghidul a fost aprobat prin Ordinul Ministrului MFE 1733/29.08.2016</t>
  </si>
  <si>
    <t>Ghidul a fost aprobat prin Ordinul Ministrului MFE 527/19.04.2016</t>
  </si>
  <si>
    <t>Opertorii regionali de apa</t>
  </si>
  <si>
    <t>Ghidul a fost lansat în consultare publică la 19.03.2019 până la 05.04.2019</t>
  </si>
  <si>
    <t>apelul  pentru proiectele fazate lansat în 25.04.2016</t>
  </si>
  <si>
    <t>AP 4, PI 6d, O.S. 4.1 Creşterea gradului de protecţie şi conservare a biodiversităţii şi refacerea ecosistemelor degradate</t>
  </si>
  <si>
    <t>Ghidul a fost aprobat prin Ordinul Ministrului MFE 528/19.04.2016 + revizuit prin Ordin MFE 66/17.01.2019</t>
  </si>
  <si>
    <t>Ghidul a fost aprobat prin Ordinul Ministrului MFE 1427/27.11.2018 + revizuit prin Ordin MFE 32/10.01.2019</t>
  </si>
  <si>
    <t>apelul pentru proiecte noi lansat în 09.07.2018</t>
  </si>
  <si>
    <t>apelul pentru proiecte fazate lansat în 09.01.2017</t>
  </si>
  <si>
    <t>AP 4, PI 6e, O.S. 4.3 Reducere suprafețe poluate istoric</t>
  </si>
  <si>
    <t>apel lansat în 19 aprilie 2016 / relansare apel 21.01.2019</t>
  </si>
  <si>
    <t>Administratori de infrastructură de transport pentru toate modurile. Poliţia rutieră şi Poliţia Transporturi</t>
  </si>
  <si>
    <t>Apelul de proiecte noi lansat în 03.01.2018</t>
  </si>
  <si>
    <t>Link</t>
  </si>
  <si>
    <t>http://www.fonduri-ue.ro/images/files/programe/POIM/2017/13.06.2017/OS_1.1_2.1si2.2_1.zip</t>
  </si>
  <si>
    <t>http://www.fonduri-ue.ro/images/files/programe/INFRASTRUCTURA/POIM/2019/14.01/Ghid__OS_1.2_si_2.7_Dezvoltarea_infrastructurii_feroviare.zip</t>
  </si>
  <si>
    <t>http://www.fonduri-ue.ro/images/files/programe/POIM/2018/17.01/PUBLICARE_GHID_NAVAL.zip</t>
  </si>
  <si>
    <t>http://www.fonduri-ue.ro/images/files/programe/INFRASTRUCTURA/POIM/2019/14.01/Ghid_OS_1.4_pentru_Dezvoltarea_Infrastructurii_de_metrou.zip</t>
  </si>
  <si>
    <t>AP 2, PI 7C, OS 2.3 Creşterea gradului de utilizare sustenabilă a aeroporturilor</t>
  </si>
  <si>
    <t>http://www.fonduri-ue.ro/images/files/programe/POIM/2018/17.01/PUBLICARE_GHID_AERIAN.zip</t>
  </si>
  <si>
    <t>http://www.fonduri-ue.ro/images/files/programe/INFRASTRUCTURA/POIM/2019/14.01/Ghid__OS_2.5_Cresterea_gradului_de_siguranta.zip</t>
  </si>
  <si>
    <t>http://www.fonduri-ue.ro/images/files/programe/INFRASTRUCTURA/POIM/2019/14.01/Ghid_OS__2.6-revizie_decembrie_2018.zip</t>
  </si>
  <si>
    <t>http://www.fonduri-ue.ro/images/files/programe/INFRASTRUCTURA/POIM/2018/28.12/GSAP3OS3.1.zip</t>
  </si>
  <si>
    <t>http://www.fonduri-ue.ro/images/files/programe/INFRASTRUCTURA/POIM/2018/13.08.2018/Ghid_OS_3.2_POIM_august_2018.zip
http://www.fonduri-ue.ro/images/files/programe/INFRASTRUCTURA/POIM/2018/23.08.2018/OM_Ghid_OS_3.2_POIM__-_1_final.pdf</t>
  </si>
  <si>
    <t>http://www.fonduri-ue.ro/images/files/programe/INFRASTRUCTURA/POIM/2019/Biodiv_3_publicare_in_consultare_1.rar</t>
  </si>
  <si>
    <t>http://www.fonduri-ue.ro/images/files/programe/INFRASTRUCTURA/POIM/2018/04.12/Ghid_ecosisteme_final_pdf.rar
http://www.fonduri-ue.ro/images/files/programe/POIM/2019/15.01.2019/ORDIN_POIM_32.PDF</t>
  </si>
  <si>
    <t>http://www.fonduri-ue.ro/images/files/programe/INFRASTRUCTURA/POIM/2019/21.01/ghid.zip
http://www.fonduri-ue.ro/images/files/programe/INFRASTRUCTURA/POIM/2019/21.01/ordin_4.2.pdf</t>
  </si>
  <si>
    <t>http://www.fonduri-ue.ro/images/files/programe/INFRASTRUCTURA/POIM/2018/09.07/GS_OS_4.3_pdf.zip</t>
  </si>
  <si>
    <t>Ghidul a fost aprobat prin Ordinul Ministrului MFE 528/19.04.2016</t>
  </si>
  <si>
    <t>Ghidul a fost aprobat prin Ordinul Ministrului MFE 3117/30.12.2016</t>
  </si>
  <si>
    <t>http://www.fonduri-ue.ro/images/files/programe/INFRASTRUCTURA/POIM/2019/14.02/Pachet_publicare_GS_OS_5.1.zip</t>
  </si>
  <si>
    <t>Apelul de proiecte noi a fost lansat 25.06.2018</t>
  </si>
  <si>
    <t>AP 5, PI 5ii,  OS 5.2 Creșterea nivelului de pregătire pentru o reacție rapidă și eficientă la dezastre a echipajelor de intervenție) - proiecte noi</t>
  </si>
  <si>
    <t>http://www.fonduri-ue.ro/images/files/programe/INFRASTRUCTURA/POIM/2018/22.06.2018/POIM_Ghidul_solicitantului_OS_5.2.zip
http://www.fonduri-ue.ro/images/files/programe/INFRASTRUCTURA/POIM/2018/22.06.2018/om_ghid_5.202427620180621124734_1000006a_1.pdf</t>
  </si>
  <si>
    <t>Ghidul a fost aprobat prin Ordinul Ministrului MFE 557/15.06.2018</t>
  </si>
  <si>
    <t>01.02.2017</t>
  </si>
  <si>
    <t>data estimată lansare în consultare publică mai 2019</t>
  </si>
  <si>
    <t>15.09.2015</t>
  </si>
  <si>
    <t>25.04.2016</t>
  </si>
  <si>
    <t>http://www.fonduri-ue.ro/images/files/programe/INFRASTRUCTURA/POIM/2017/19.07.2017/POIM_Ghid_OS_6.1_productie_energie_RES_mai_2017.zip
http://www.fonduri-ue.ro/images/files/programe/POIM/2017/18.07.2017/Ordin_3686_O.S_6.1.pdf
http://www.fonduri-ue.ro/images/files/programe/INFRASTRUCTURA/POIM/2018/14.12/Ordin_prelungire_6.1_productie.pdf</t>
  </si>
  <si>
    <t xml:space="preserve">  16.05.2017</t>
  </si>
  <si>
    <t>17.07.2017</t>
  </si>
  <si>
    <t>03.01.2018</t>
  </si>
  <si>
    <t>20.03.2018</t>
  </si>
  <si>
    <t xml:space="preserve"> 03.01.2018</t>
  </si>
  <si>
    <t>9.06.2016</t>
  </si>
  <si>
    <t>Ghidul a fost aprobat prin Ordinul Ministrului MFE 833/09.06.2016</t>
  </si>
  <si>
    <t xml:space="preserve">http://www.fonduri-ue.ro/images/files/programe/INFRASTRUCTURA/POIM/2018/20.03.2018/Publicare_Ghid.zip
http://www.fonduri-ue.ro/images/files/programe/INFRASTRUCTURA/POIM/2018/14.12/Ordin_prelungire_6.2.pdf
</t>
  </si>
  <si>
    <t>http://www.fonduri-ue.ro/images/files/programe/POIM/2017/29.12.2017/6.1_distributie_final.zip
http://www.fonduri-ue.ro/images/files/programe/INFRASTRUCTURA/POIM/2018/14.12/Ordin_prelungire_6.1_distributie.pdf</t>
  </si>
  <si>
    <t>http://www.fonduri-ue.ro/images/files/programe/POIM/2017/29.12.2017/6.3_final.zip
http://www.fonduri-ue.ro/images/files/programe/INFRASTRUCTURA/POIM/2018/14.12/Ordin_prelungire_6.3.pdf</t>
  </si>
  <si>
    <t>http://www.fonduri-ue.ro/images/17.05/29.05.2017/POIM_Ghid_OS_6.4_Cogenerare_de_inalta_eficienta_mai_2017.zip
http://www.fonduri-ue.ro/images/files/programe/INFRASTRUCTURA/POIM/2018/14.12/Ordin_prelungire_6.4.pdf</t>
  </si>
  <si>
    <t>http://www.fonduri-ue.ro/images/files/programe/INFRASTRUCTURA/POIM/2016/07.12/Ordin_2886_7.12.2016_Corrigendum.pdf
http://www.fonduri-ue.ro/images/files/programe/INFRASTRUCTURA/POIM/2017/14.11.2017/Ordin_termo.pdf
http://www.fonduri-ue.ro/images/files/programe/INFRASTRUCTURA/POIM/2018/22.10.2018/OMFE_1253_22_10_AP703082120181025134209_10000854_1.pdf
http://www.fonduri-ue.ro/images/files/programe/INFRASTRUCTURA/POIM/2018/29.08.2018/clarificare_AP_6_-_8_POIM_0.pdf</t>
  </si>
  <si>
    <t>Dezvoltarea infrastructurii rutiere</t>
  </si>
  <si>
    <t>http://mfe.gov.ro/event/dezvoltarea-infrastructurii-rutiere/</t>
  </si>
  <si>
    <t>Dezvoltarea infrastructurii feroviare</t>
  </si>
  <si>
    <t>http://mfe.gov.ro/event/dezvoltarea-infrastructurii-feroviare/</t>
  </si>
  <si>
    <t>Îmbunătățirea condițiilor de navigație, dezvoltarea infrastructurii portuare și a infrastructurii locale intermodale/multimodale</t>
  </si>
  <si>
    <t>http://mfe.gov.ro/event/imbunatatirea-conditiilor-de-navigatie-dezvoltarea-infrastructurii-portuare-si-a-infrastructurii-locale-intermodale-multimodale/</t>
  </si>
  <si>
    <t>Dezvoltarea infrastructurii aeroportuare</t>
  </si>
  <si>
    <t>http://mfe.gov.ro/event/dezvoltarea-infrastructurii-aeroportuare/</t>
  </si>
  <si>
    <t>Dezvoltarea infrastructurii de metrou</t>
  </si>
  <si>
    <t>http://mfe.gov.ro/event/dezvoltarea-infrastructurii-de-metrou/</t>
  </si>
  <si>
    <t>Creșterea gradului de siguranță și îmbunătățirea condițiilor de mediu pe toate modurile de transport</t>
  </si>
  <si>
    <t>http://mfe.gov.ro/event/cresterea-gradului-de-siguranta-si-imbunatatirea-conditiilor-de-mediu-pe-toate-modurile-de-transport/</t>
  </si>
  <si>
    <t>Fluidizarea traficului de trecere a punctelor de comunicare transnațională</t>
  </si>
  <si>
    <t>http://mfe.gov.ro/event/fluidizarea-traficului-de-trecere-a-punctelor-de-comunicare-transnationala/</t>
  </si>
  <si>
    <t>Dezvoltarea infrastructurii integrate de apă și apă uzată</t>
  </si>
  <si>
    <t>http://mfe.gov.ro/event/dezvoltarea-infrastructurii-integrate-de-apa-si-apa-uzata/</t>
  </si>
  <si>
    <t>http://mfe.gov.ro/event/refacerea-ecosistemelor-degradate/</t>
  </si>
  <si>
    <t>Evaluarea și monitorizarea calității aerului la nivel național</t>
  </si>
  <si>
    <t>http://mfe.gov.ro/event/evaluarea-si-monitorizarea-calitatii-aerului-la-nivel-national/</t>
  </si>
  <si>
    <t>Decontaminarea siturilor poluate istoric</t>
  </si>
  <si>
    <t>http://mfe.gov.ro/event/decontaminarea-siturilor-poluate-istoric/</t>
  </si>
  <si>
    <t>Titlul apelului, asa cum apare in GS</t>
  </si>
  <si>
    <t>link apel publicat in calendarul apelurilor mfe.gov.ro</t>
  </si>
  <si>
    <t>http://mfe.gov.ro/event/managementul-riscului-la-inundatii-eroziune-costiera-si-alte-riscuri-identificate-prin-evaluarea-nationala-a-riscurilor/</t>
  </si>
  <si>
    <t>Consolidarea capacităţii de reacţie în caz de dezastre</t>
  </si>
  <si>
    <t>http://mfe.gov.ro/event/consolidarea-capacitatii-de-reactie-in-caz-de-dezastre/</t>
  </si>
  <si>
    <t>http://mfe.gov.ro/event/sprijinirea-investitiilor-in-capacitati-de-producere-energie-electrica-si-sau-termica-din-biomasa-biogaz-si-energie-geotermala/</t>
  </si>
  <si>
    <t>Sprijinirea investiţiilor în capacităţi de producere energie electrică şi/sau termică din biomasă/biogaz şi energie geotermală</t>
  </si>
  <si>
    <t>Sprijinirea investiţiilor în extinderea şi modernizarea reţelelor de distribuţie a energiei electrice</t>
  </si>
  <si>
    <t>http://mfe.gov.ro/event/sprijinirea-investitiilor-in-extinderea-si-modernizarea-retelelor-de-distributie-a-energiei-electrice/</t>
  </si>
  <si>
    <t>Monitorizarea consumului de energie la consumatorii industriali</t>
  </si>
  <si>
    <t>http://mfe.gov.ro/event/monitorizarea-consumului-de-energie-la-consumatorii-industriali/</t>
  </si>
  <si>
    <t>Implementarea distribuţiei inteligente într-o zonă omogenă de consumatori casnici de energie electrică</t>
  </si>
  <si>
    <t>http://mfe.gov.ro/event/implementarea-distributiei-inteligente-intr-o-zona-omogena-de-consumatori-casnici-de-energie-electrica/</t>
  </si>
  <si>
    <t>Sprijinirea investiţiilor în cogenerare de înaltă eficienţă</t>
  </si>
  <si>
    <t>http://mfe.gov.ro/event/sprijinirea-investitiilor-in-cogenerare-de-inalta-eficienta/</t>
  </si>
  <si>
    <t>http://mfe.gov.ro/event/dezvoltarea-infrastructurii-de-termoficare/</t>
  </si>
  <si>
    <t>Dezvoltarea infrastructurii de termoficare</t>
  </si>
  <si>
    <t>idem</t>
  </si>
  <si>
    <t>http://www.fonduri-ue.ro/images/files/programe/INFRASTRUCTURA/POIM/2016/07.12/Ordin_2886_7.12.2016_Corrigendum.pdf
http://www.fonduri-ue.ro/images/files/programe/INFRASTRUCTURA/POIM/2017/14.11.2017/Ordin_termo.pdf
http://www.fonduri-ue.ro/images/files/programe/INFRASTRUCTURA/POIM/2018/22.10.2018/OMFE_1253_22_10_AP703082120181025134209_10000854_1.pdf
http://www.fonduri-ue.ro/images/files/programe/INFRASTRUCTURA/POIM/2018/29.08.2018/clarificare_AP_6_-_8_POIM_0.pdf
https://www.fonduri-ue.ro/exchweb/bin/redir.asp?URL=http://www.fonduri-ue.ro/images/files/programe/OLD/Ghid.AP.7.Dezvoltarea.infrastructurii.termoficare.zip</t>
  </si>
  <si>
    <t>Proiecte depuse</t>
  </si>
  <si>
    <t xml:space="preserve">Publici </t>
  </si>
  <si>
    <r>
      <t xml:space="preserve">Administrațiile portuare / Administratii de canale navigabile /   Autoritati publice locale ce administrează terminale intermodale prioritizate prin MPGT </t>
    </r>
    <r>
      <rPr>
        <b/>
        <sz val="12"/>
        <color rgb="FFFF0000"/>
        <rFont val="Calibri"/>
        <family val="2"/>
        <scheme val="minor"/>
      </rPr>
      <t>si operatori portuari privati</t>
    </r>
  </si>
  <si>
    <t>MAP-ANAR, ANM,  alti potentiali beneficiari identificati prin Evaluarea Nationala a Riscurilor</t>
  </si>
  <si>
    <t xml:space="preserve">Ghidul a fost aprobat prin Ordinul Ministrului MDRPFE 7332/29.12.2017 </t>
  </si>
  <si>
    <t>Ghidul a fost aprobat prin Ordinul Ministrului MDRPFE 7332/29.12.2017 + revizuit prin Ordinul Ministrului MFE 323/12.02.2019</t>
  </si>
  <si>
    <t>Apelul de proiecte fazate lansat în 03.01.2018</t>
  </si>
  <si>
    <t xml:space="preserve"> 31.12.2022</t>
  </si>
  <si>
    <t xml:space="preserve"> 31.12.2021</t>
  </si>
  <si>
    <t>16.09.2019</t>
  </si>
  <si>
    <r>
      <t xml:space="preserve">06/30/2018;prelungit pana la31.03.2019/
</t>
    </r>
    <r>
      <rPr>
        <sz val="12"/>
        <color rgb="FFFF0000"/>
        <rFont val="Calibri"/>
        <family val="2"/>
        <scheme val="minor"/>
      </rPr>
      <t>relansat pana la data de 04.11.2021</t>
    </r>
  </si>
  <si>
    <t>01.10.2019</t>
  </si>
  <si>
    <t>inchis</t>
  </si>
  <si>
    <r>
      <t>30.03.2018</t>
    </r>
    <r>
      <rPr>
        <sz val="12"/>
        <color rgb="FFFF0000"/>
        <rFont val="Calibri"/>
        <family val="2"/>
        <scheme val="minor"/>
      </rPr>
      <t>/04.11.2019</t>
    </r>
  </si>
  <si>
    <t xml:space="preserve">31.12.2019 </t>
  </si>
  <si>
    <r>
      <t>Ghidul a fost aprobat prin Ordinul Ministrului MDRAPFE 3686/17.07.2017,</t>
    </r>
    <r>
      <rPr>
        <sz val="12"/>
        <color rgb="FFFF0000"/>
        <rFont val="Calibri"/>
        <family val="2"/>
        <scheme val="minor"/>
      </rPr>
      <t xml:space="preserve"> prelungirea termenului de depunere a fost aprobat prin Ordinul MFE nr. 1188 din 21.06.2019; 
se estimeaza ca apelul va fi deschis in TRIM I 2020</t>
    </r>
  </si>
  <si>
    <t xml:space="preserve">Custozi/Administratori ai ariilor naturale protejate,ONG/institute de cercetare/universităţi/autorităţi ale administraţiei publice centrale-locale
</t>
  </si>
  <si>
    <t>31.12.2021</t>
  </si>
  <si>
    <t xml:space="preserve">03.04.2020, 
actiunea A (Elaborarea planurilor de management/seturilor de măsuri de conservare / planurilor de acţiune pentru ariile naturale protejate) </t>
  </si>
  <si>
    <t xml:space="preserve">apelul de proiecte noi lansat în 30.05.2016 / relansat în 25.07.2017'
</t>
  </si>
  <si>
    <r>
      <t xml:space="preserve">Ghidul revizuit și aprobat prin Decizia DG OIT nr. 7 din 06.02.2017
 Prin Decizia </t>
    </r>
    <r>
      <rPr>
        <sz val="12"/>
        <color rgb="FFFF0000"/>
        <rFont val="Calibri"/>
        <family val="2"/>
        <scheme val="minor"/>
      </rPr>
      <t xml:space="preserve">33/05.05.2020  a fost aprobată revizuirea Ghidului Solicitantului </t>
    </r>
  </si>
  <si>
    <r>
      <t xml:space="preserve">revizuit și aprobat prin Decizia DG OIT nr. 20/09.05.2017+ revizuit prin Decizia DGOIT nr.63/20.12.2018
</t>
    </r>
    <r>
      <rPr>
        <sz val="12"/>
        <color rgb="FFFF0000"/>
        <rFont val="Calibri"/>
        <family val="2"/>
        <scheme val="minor"/>
      </rPr>
      <t xml:space="preserve"> Prin Decizia 32/05.05.2020  a fost aprobată revizuirea Ghidului Solicitantului </t>
    </r>
  </si>
  <si>
    <t xml:space="preserve"> Ghidul a fost aprobat prin decizia DG OIT nr. 65 din 21.12.2017
Urmează să fie revizuit ghidul care este în prezent publicat și în baza căruia apelul e lansat. 
Termen estimat finalizare revizie septembrie 2019.
IN ELABORARE REVIZIE Ghid pentru:  
- majorarea ratei de co-finanțare UE de la 75% la 85%
- inserarea în cuprinsul Anexei 3 la Ghidul Solicitantului a Anexei 6.1 - Lista Verificare politici europene/teme orizontale,
- Solicitarea declarației autorității competente responsabile cu Gestionarea Apelor atât în cazul proiectelor majore cât și în cazul proiectelor minore.
- Actualizarea ghidului cu contribuția locală.
- Modificarea în consecința a alocării stabilite pentru apelurile de proiecte.
</t>
  </si>
  <si>
    <t>Ghidul a fost aprobat, prin Decizia DG OIT nr. 64 din 21.12.2017 iar ghidul revizuit a fost aprobat prin Decizia DG OIT nr.49/26.06.2019</t>
  </si>
  <si>
    <t xml:space="preserve">Ghidul a fost revizuit și aprobat prin Decizia DG OIT nr. 8/06.02.2017+revizuit prin Decizia DGOIT nr.65/20.12.2018+revizuit  Decizia DGOIT nr.37/10.05.2019
</t>
  </si>
  <si>
    <t xml:space="preserve">Managementul riscului la inundații, eroziune costieră și alte riscuri identificate prin evaluarea naţională a riscurilor </t>
  </si>
  <si>
    <t xml:space="preserve">
Bugetul alocat apelului de proiecte euro (finantare neta conform plan financiar POIM aprobat de CE in iulie 2020)
</t>
  </si>
  <si>
    <r>
      <t xml:space="preserve">Ghidul a fost aprobat prin Ordinul Ministrului MFE 2554/27.04.2018
</t>
    </r>
    <r>
      <rPr>
        <sz val="12"/>
        <color rgb="FFFF0000"/>
        <rFont val="Calibri"/>
        <family val="2"/>
        <scheme val="minor"/>
      </rPr>
      <t xml:space="preserve">Urmare a inchiderii apelului  de proiecte la 30.03.2019, a fost elaborat un nou ghid care  urmează să fie relansat (data preconizata 15.09.2019)
</t>
    </r>
  </si>
  <si>
    <t>30.09.2020</t>
  </si>
  <si>
    <t>15.05.2020</t>
  </si>
  <si>
    <t>17.08.2020</t>
  </si>
  <si>
    <r>
      <t xml:space="preserve">Ghidul „Consolidarea capacităţii unităților de învățământ preuniversitar de stat în vederea gestionării situației de pandemie generată de virusul SARS-COV-2”, </t>
    </r>
    <r>
      <rPr>
        <b/>
        <sz val="12"/>
        <rFont val="Calibri"/>
        <family val="2"/>
        <scheme val="minor"/>
      </rPr>
      <t>a fost lansat in consultare publica in data de 07 septembrie 2020.</t>
    </r>
  </si>
  <si>
    <r>
      <t xml:space="preserve">Ghidul a fost aprobat prin Ordinul Ministrului MFE 833/09.06.2016, </t>
    </r>
    <r>
      <rPr>
        <b/>
        <sz val="12"/>
        <rFont val="Calibri"/>
        <family val="2"/>
        <scheme val="minor"/>
      </rPr>
      <t xml:space="preserve">prelungirea termenului de depunere  prin Nota 578/17.12.2019
</t>
    </r>
    <r>
      <rPr>
        <b/>
        <sz val="12"/>
        <color rgb="FFFF0000"/>
        <rFont val="Calibri"/>
        <family val="2"/>
        <scheme val="minor"/>
      </rPr>
      <t xml:space="preserve">
Publicarea Ghidului Solicitantului „Dezvoltarea infrastructurii de termoficare – proiecte noi” pe site-ul MFE in data de 03.09.2020.
</t>
    </r>
  </si>
  <si>
    <r>
      <t xml:space="preserve"> 31.12.2021/</t>
    </r>
    <r>
      <rPr>
        <b/>
        <sz val="12"/>
        <color rgb="FFFF0000"/>
        <rFont val="Calibri"/>
        <family val="2"/>
        <scheme val="minor"/>
      </rPr>
      <t>01.07.2022</t>
    </r>
  </si>
  <si>
    <r>
      <t xml:space="preserve"> ghidulpentru proiecte noi  a fost aprobat prin ordinul 986/28.05.2019, 
</t>
    </r>
    <r>
      <rPr>
        <b/>
        <sz val="12"/>
        <color rgb="FFFF0000"/>
        <rFont val="Calibri"/>
        <family val="2"/>
        <scheme val="minor"/>
      </rPr>
      <t>perioada de depunere a proiectelor 
03.09.2020 - 01.07.2022</t>
    </r>
  </si>
  <si>
    <t>Axa Prioritară 9</t>
  </si>
  <si>
    <r>
      <t>9.06.2016/</t>
    </r>
    <r>
      <rPr>
        <sz val="12"/>
        <color rgb="FFFF0000"/>
        <rFont val="Calibri"/>
        <family val="2"/>
        <scheme val="minor"/>
      </rPr>
      <t xml:space="preserve">30.04.2020
</t>
    </r>
    <r>
      <rPr>
        <b/>
        <sz val="12"/>
        <color rgb="FFFF0000"/>
        <rFont val="Calibri"/>
        <family val="2"/>
        <scheme val="minor"/>
      </rPr>
      <t>apelul de proiecte a fsot deschis în perioada 3 septembrie 2020 – 31 decembrie 2021, ora 17.00</t>
    </r>
    <r>
      <rPr>
        <sz val="12"/>
        <color rgb="FFFF0000"/>
        <rFont val="Calibri"/>
        <family val="2"/>
        <scheme val="minor"/>
      </rPr>
      <t>.</t>
    </r>
  </si>
  <si>
    <t>30.11.2020</t>
  </si>
  <si>
    <t>30.03.2021</t>
  </si>
  <si>
    <t>Data lansare apel/ PERIOADA DEPUNERE</t>
  </si>
  <si>
    <t>INCHIS</t>
  </si>
  <si>
    <r>
      <t xml:space="preserve">ORDIN 23.11.2020, 
</t>
    </r>
    <r>
      <rPr>
        <b/>
        <sz val="12"/>
        <color rgb="FFFF0000"/>
        <rFont val="Calibri"/>
        <family val="2"/>
        <scheme val="minor"/>
      </rPr>
      <t>relansat doar actiunea B
pentru acțiuni de tip B - Crearea unor capacități medicale mobile/formațiuni medicale mobile de diagnostic și tratament utilizate în combaterea răspândirii COVID – 19/spitale modulare/containere de logistică medicală, în cadrul POIM, inițiat de către Ministerul Afacerilor Interne și MFE.</t>
    </r>
  </si>
  <si>
    <t>·      solicitanți eligibili pentru proiectele de tip B care vor putea fi depuse de către Inspectoratul General pentru Situaţii de Urgenţă (IGSU), Ministerul Apărării Naționale, în parteneriat cu IGSU, precum și de solicitanții de finanțare prevăzuți în Memorandumul sus – menționat, respectiv: spitalele județene de urgență / spitalele de urgență / institutele medicale de urgență din Municipiul București și județele Timișoara, Iași, Cluj, Mureș (Târgu Mureș), Craiova, Constanța, Bihor (Oradea), Vrancea (Focșani), Bacău, Caraș-Severin (Reșița).</t>
  </si>
  <si>
    <r>
      <t>AP 9 "CONSOLIDAREA CAPACITĂŢII UNITĂȚILOR DE ÎNVĂȚĂMÂNT DE STAT ÎN VEDEREA GESTIONĂRII SITUAȚIEI DE PANDEMIE GENERATĂ DE VIRUSUL</t>
    </r>
    <r>
      <rPr>
        <b/>
        <sz val="12"/>
        <color rgb="FFFF0000"/>
        <rFont val="Calibri"/>
        <family val="2"/>
        <scheme val="minor"/>
      </rPr>
      <t xml:space="preserve"> SARS-COV-2"</t>
    </r>
  </si>
  <si>
    <r>
      <t xml:space="preserve">Ghidul a fost aprobat prin Ordinul Ministrului MFE 383/25.03.2016 + revizuit prin Ordin MFE 2045/12.10.2016 +  revizuit prin Ordin MDRAPFE 3347/19.06.2017 + revizuit prin Ordin MFE 775/03.08.2018. extins prin Ordinul </t>
    </r>
    <r>
      <rPr>
        <b/>
        <sz val="12"/>
        <color rgb="FFFF0000"/>
        <rFont val="Calibri"/>
        <family val="2"/>
        <scheme val="minor"/>
      </rPr>
      <t>1528/17.12.2020</t>
    </r>
  </si>
  <si>
    <r>
      <t>31.12.2020/</t>
    </r>
    <r>
      <rPr>
        <b/>
        <sz val="12"/>
        <color rgb="FFFF0000"/>
        <rFont val="Calibri"/>
        <family val="2"/>
        <scheme val="minor"/>
      </rPr>
      <t>31.12.2023</t>
    </r>
  </si>
  <si>
    <t>.</t>
  </si>
  <si>
    <r>
      <t xml:space="preserve">AP 9 Protejarea sănătății populației în contextul pandemiei cauzate de virusul COVID-19
OS 9.1 Creșterea capacității de gestionare a crizei sanitare COVID-19 , </t>
    </r>
    <r>
      <rPr>
        <b/>
        <sz val="12"/>
        <rFont val="Calibri"/>
        <family val="2"/>
        <scheme val="minor"/>
      </rPr>
      <t>ACTIUNEA B</t>
    </r>
  </si>
  <si>
    <t>30.06.2022</t>
  </si>
  <si>
    <t xml:space="preserve">15.01.2021
</t>
  </si>
  <si>
    <t>19.10.2020/25.10.2020
Ordinul 1364/18,11,2020</t>
  </si>
  <si>
    <r>
      <t>AP 1 şi AP 2,  PI  7i, 7a, 7b / OS 1.1 /</t>
    </r>
    <r>
      <rPr>
        <sz val="12"/>
        <color rgb="FF00B050"/>
        <rFont val="Calibri"/>
        <family val="2"/>
        <scheme val="minor"/>
      </rPr>
      <t xml:space="preserve">O.S. 2.1 / O.S. 2.2 </t>
    </r>
    <r>
      <rPr>
        <sz val="12"/>
        <rFont val="Calibri"/>
        <family val="2"/>
        <scheme val="minor"/>
      </rPr>
      <t xml:space="preserve">Dezvoltarea infrastructurii rutiere </t>
    </r>
  </si>
  <si>
    <r>
      <t>AP 1 şi AP 2, PI 7i, 7d, O.S. 1.2 şi</t>
    </r>
    <r>
      <rPr>
        <sz val="12"/>
        <color rgb="FF00B050"/>
        <rFont val="Calibri"/>
        <family val="2"/>
        <scheme val="minor"/>
      </rPr>
      <t xml:space="preserve"> O.S. 2.7</t>
    </r>
    <r>
      <rPr>
        <sz val="12"/>
        <rFont val="Calibri"/>
        <family val="2"/>
        <scheme val="minor"/>
      </rPr>
      <t xml:space="preserve"> Dezvoltarea infrastructurii feroviare</t>
    </r>
  </si>
  <si>
    <r>
      <t xml:space="preserve">AP 1 şi AP 2, PI 7i,  7c, O.S. 1.3 şi </t>
    </r>
    <r>
      <rPr>
        <sz val="12"/>
        <color rgb="FF00B050"/>
        <rFont val="Calibri"/>
        <family val="2"/>
        <scheme val="minor"/>
      </rPr>
      <t xml:space="preserve">O.S. 2.4 </t>
    </r>
    <r>
      <rPr>
        <sz val="12"/>
        <rFont val="Calibri"/>
        <family val="2"/>
        <scheme val="minor"/>
      </rPr>
      <t>Dezvoltare a infrastructurii portuare și de îmbunătățire a condițiilor de navigație pe șenal (</t>
    </r>
    <r>
      <rPr>
        <sz val="12"/>
        <color rgb="FFFF0000"/>
        <rFont val="Calibri"/>
        <family val="2"/>
        <scheme val="minor"/>
      </rPr>
      <t xml:space="preserve"> beneficiari publici si beneficiari privati) </t>
    </r>
  </si>
  <si>
    <r>
      <t xml:space="preserve">Ghidul pentru proiectele noi a fost lansat  în consultare publică la 28.12.2018  până la 12.01.2019
</t>
    </r>
    <r>
      <rPr>
        <b/>
        <sz val="12"/>
        <color rgb="FFFF0000"/>
        <rFont val="Calibri"/>
        <family val="2"/>
        <scheme val="minor"/>
      </rPr>
      <t>Publicarea</t>
    </r>
    <r>
      <rPr>
        <sz val="12"/>
        <rFont val="Calibri"/>
        <family val="2"/>
        <scheme val="minor"/>
      </rPr>
      <t xml:space="preserve"> </t>
    </r>
    <r>
      <rPr>
        <b/>
        <sz val="12"/>
        <color rgb="FFFF0000"/>
        <rFont val="Calibri"/>
        <family val="2"/>
        <scheme val="minor"/>
      </rPr>
      <t xml:space="preserve"> pe site-ul MFE a Ghidului pentru proiectele noi 
in data de  03.09.2020 
</t>
    </r>
  </si>
  <si>
    <r>
      <t xml:space="preserve">Ghidul a fost aprobat prin Ordinul Ministrului MFE 526/19.06.2016 + revizuit prin Ordin MFE 871/17.06.2016 +  revizuit prin Ordin MDRAPFE 5681/16.08.2017;
</t>
    </r>
    <r>
      <rPr>
        <sz val="12"/>
        <color rgb="FFFF0000"/>
        <rFont val="Calibri"/>
        <family val="2"/>
        <scheme val="minor"/>
      </rPr>
      <t xml:space="preserve">apelul de proiecte a fost relansat in 03.04.2020, 
</t>
    </r>
    <r>
      <rPr>
        <sz val="12"/>
        <rFont val="Calibri"/>
        <family val="2"/>
        <scheme val="minor"/>
      </rPr>
      <t xml:space="preserve">
</t>
    </r>
  </si>
  <si>
    <r>
      <t xml:space="preserve">Administratori ai ariilor naturale protejate
ANANP  / instituţia care este responsabilă pentru asigurarea managementului ariei protejate
Ministerul Mediului 
Organizaţii neguvernamentale (asociaţii şi fundaţii) / / institute de cercetare / universităţi / muzee - care să aibă prevăzut în actul constitutiv atribuţii de protecţia mediului şi/sau protecţia naturii precum și autorităţi ale administraţiei publice centrale / locale / alte structuri în coordonarea / subordonarea autorităţilor centrale / locale, </t>
    </r>
    <r>
      <rPr>
        <b/>
        <sz val="12"/>
        <rFont val="Calibri"/>
        <family val="2"/>
        <scheme val="minor"/>
      </rPr>
      <t xml:space="preserve">doar în parteneriat </t>
    </r>
    <r>
      <rPr>
        <sz val="12"/>
        <rFont val="Calibri"/>
        <family val="2"/>
        <scheme val="minor"/>
      </rPr>
      <t>cu administratori ai ariilor naturale protejate sau ANANP / instituţia care este responsabilă pentru asigurarea managementului ariei protejate sau Ministerul Mediului</t>
    </r>
    <r>
      <rPr>
        <b/>
        <sz val="12"/>
        <rFont val="Calibri"/>
        <family val="2"/>
        <scheme val="minor"/>
      </rPr>
      <t xml:space="preserve"> </t>
    </r>
    <r>
      <rPr>
        <sz val="12"/>
        <rFont val="Calibri"/>
        <family val="2"/>
        <scheme val="minor"/>
      </rPr>
      <t xml:space="preserve">;
Regia Naţională a Pădurilor – Romsilva / ANPM / ANANP / alte structuri în coordonarea/subordonarea autorităţilor centrale / locale, în parteneriat cu MM în calitate de instituţie responsabilă pentru conservarea şi utilizarea durabilă a patrimoniului natural </t>
    </r>
  </si>
  <si>
    <r>
      <rPr>
        <sz val="12"/>
        <color rgb="FFFF0000"/>
        <rFont val="Calibri"/>
        <family val="2"/>
        <scheme val="minor"/>
      </rPr>
      <t xml:space="preserve">20.09.2019 </t>
    </r>
    <r>
      <rPr>
        <sz val="12"/>
        <rFont val="Calibri"/>
        <family val="2"/>
        <scheme val="minor"/>
      </rPr>
      <t xml:space="preserve">
</t>
    </r>
    <r>
      <rPr>
        <sz val="12"/>
        <color rgb="FFFF0000"/>
        <rFont val="Calibri"/>
        <family val="2"/>
        <scheme val="minor"/>
      </rPr>
      <t>relansarea apelului  pentru Acțiunea B</t>
    </r>
    <r>
      <rPr>
        <sz val="12"/>
        <rFont val="Calibri"/>
        <family val="2"/>
        <scheme val="minor"/>
      </rPr>
      <t xml:space="preserve"> (Implementarea planurilor de management / seturilor de măsuri de conservare/ planurilor de acţiune pentru ariile naturale protejate şi pentru speciile de interes comunitar aprobate (inclusiv mediu marin))</t>
    </r>
  </si>
  <si>
    <r>
      <t xml:space="preserve">apelul pentru </t>
    </r>
    <r>
      <rPr>
        <b/>
        <sz val="12"/>
        <color rgb="FFFF0000"/>
        <rFont val="Calibri"/>
        <family val="2"/>
        <scheme val="minor"/>
      </rPr>
      <t xml:space="preserve">Acțiunea D </t>
    </r>
    <r>
      <rPr>
        <sz val="12"/>
        <rFont val="Calibri"/>
        <family val="2"/>
        <scheme val="minor"/>
      </rPr>
      <t>(Menţinerea şi refacerea ecosistemelor degradate şi a serviciilor furnizate) lansat în 14.12.2018</t>
    </r>
  </si>
  <si>
    <r>
      <t xml:space="preserve">Ghidul a fost aprobat prin Ordinul Ministrului MDRAPFE 7316/28.12.2017, prelungirea termenului de depunere a fost aprobat prin Ordinul MFE nr. 968  din 23.05.2019, </t>
    </r>
    <r>
      <rPr>
        <sz val="12"/>
        <color rgb="FFFF0000"/>
        <rFont val="Calibri"/>
        <family val="2"/>
        <scheme val="minor"/>
      </rPr>
      <t>prelungirea termenului de depunete  prin Nota 578/17.12.2019</t>
    </r>
  </si>
  <si>
    <r>
      <t>Ghidul a fost aprobat si relansat prin Ordinul Ministrului MFE 2479/19.03.2018, prelungirea termenului de depunere a fost aprobat prin Ordinul MFE nr. 989 din 28.05.2019,</t>
    </r>
    <r>
      <rPr>
        <sz val="12"/>
        <color rgb="FFFF0000"/>
        <rFont val="Calibri"/>
        <family val="2"/>
        <scheme val="minor"/>
      </rPr>
      <t xml:space="preserve"> prelungirea termenului de depunete  prin Nota 578/17.12.2019</t>
    </r>
  </si>
  <si>
    <r>
      <t xml:space="preserve">Ghidul a fost aprobat prin Ordinul Ministrului MDRAPFE 7317/28.12.2017, prelungirea termenului de depunere a fost aprobat prin Ordinul MFE nr. 1189 din 21.06.2019, </t>
    </r>
    <r>
      <rPr>
        <sz val="12"/>
        <color rgb="FFFF0000"/>
        <rFont val="Calibri"/>
        <family val="2"/>
        <scheme val="minor"/>
      </rPr>
      <t>prelungirea termenului de depunete  prin Nota 578/17.12.2019</t>
    </r>
  </si>
  <si>
    <r>
      <t xml:space="preserve">Ghidul a fost aprobat prin Ordinul Ministrului MDRAPFE 2994/15.05.2017, prelungirea termenului de depunere a fost aprobat prin Ordinul MFE nr. 990 din 28.05.2019, </t>
    </r>
    <r>
      <rPr>
        <sz val="12"/>
        <color rgb="FFFF0000"/>
        <rFont val="Calibri"/>
        <family val="2"/>
        <scheme val="minor"/>
      </rPr>
      <t>prelungirea termenului de depunete  prin Nota 578/17.12.2019</t>
    </r>
  </si>
  <si>
    <r>
      <t xml:space="preserve">Transelectrica </t>
    </r>
    <r>
      <rPr>
        <b/>
        <sz val="12"/>
        <rFont val="Calibri"/>
        <family val="2"/>
        <scheme val="minor"/>
      </rPr>
      <t>si Transgaz</t>
    </r>
  </si>
  <si>
    <t>OS 9.1 Creșterea capacității de gestionare a crizei sanitare COVID-19
LESS</t>
  </si>
  <si>
    <t>OS 9.1 Creșterea capacității de gestionare a crizei sanitare COVID-19
MORE</t>
  </si>
  <si>
    <t>DESCHIS</t>
  </si>
  <si>
    <t>19,03,2021</t>
  </si>
  <si>
    <t>EURO</t>
  </si>
  <si>
    <t>15.08.2021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</si>
</sst>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 #,##0.00\ _l_e_i_-;\-* #,##0.00\ _l_e_i_-;_-* &quot;-&quot;??\ _l_e_i_-;_-@_-"/>
    <numFmt numFmtId="165" formatCode="0.0"/>
    <numFmt numFmtId="166" formatCode="#,##0\ _l_e_i"/>
    <numFmt numFmtId="167" formatCode="_-* #,##0\ _l_e_i_-;\-* #,##0\ _l_e_i_-;_-* &quot;-&quot;??\ _l_e_i_-;_-@_-"/>
    <numFmt numFmtId="168" formatCode="_-* #,##0.0000\ _l_e_i_-;\-* #,##0.0000\ _l_e_i_-;_-* &quot;-&quot;????\ _l_e_i_-;_-@_-"/>
    <numFmt numFmtId="169" formatCode="#,##0.000"/>
    <numFmt numFmtId="170" formatCode="0.0000"/>
  </numFmts>
  <fonts count="107">
    <font>
      <sz val="11"/>
      <color theme="1"/>
      <name val="Calibri"/>
      <family val="2"/>
      <charset val="238"/>
      <scheme val="minor"/>
    </font>
    <font>
      <sz val="11"/>
      <color theme="1"/>
      <name val="Calibri"/>
      <family val="2"/>
      <scheme val="minor"/>
    </font>
    <font>
      <sz val="11"/>
      <color theme="1"/>
      <name val="Calibri"/>
      <family val="2"/>
      <scheme val="minor"/>
    </font>
    <font>
      <b/>
      <sz val="11"/>
      <color theme="1"/>
      <name val="Calibri"/>
      <family val="2"/>
      <charset val="238"/>
      <scheme val="minor"/>
    </font>
    <font>
      <b/>
      <sz val="14"/>
      <color theme="1"/>
      <name val="Calibri"/>
      <family val="2"/>
      <charset val="238"/>
      <scheme val="minor"/>
    </font>
    <font>
      <b/>
      <sz val="11"/>
      <color theme="1"/>
      <name val="Calibri"/>
      <family val="2"/>
      <scheme val="minor"/>
    </font>
    <font>
      <sz val="11"/>
      <color theme="0"/>
      <name val="Calibri"/>
      <family val="2"/>
      <charset val="238"/>
      <scheme val="minor"/>
    </font>
    <font>
      <b/>
      <sz val="11"/>
      <color rgb="FFFF0000"/>
      <name val="Calibri"/>
      <family val="2"/>
      <scheme val="minor"/>
    </font>
    <font>
      <sz val="11"/>
      <name val="Calibri"/>
      <family val="2"/>
      <charset val="238"/>
      <scheme val="minor"/>
    </font>
    <font>
      <b/>
      <sz val="11"/>
      <name val="Calibri"/>
      <family val="2"/>
      <scheme val="minor"/>
    </font>
    <font>
      <sz val="11"/>
      <name val="Calibri"/>
      <family val="2"/>
    </font>
    <font>
      <b/>
      <sz val="11"/>
      <name val="Calibri"/>
      <family val="2"/>
    </font>
    <font>
      <b/>
      <sz val="9"/>
      <name val="Times New Roman"/>
      <family val="1"/>
    </font>
    <font>
      <b/>
      <sz val="9"/>
      <color indexed="10"/>
      <name val="Times New Roman"/>
      <family val="1"/>
    </font>
    <font>
      <sz val="10"/>
      <color indexed="8"/>
      <name val="Calibri"/>
      <family val="2"/>
    </font>
    <font>
      <sz val="9"/>
      <color indexed="8"/>
      <name val="Times New Roman"/>
      <family val="1"/>
    </font>
    <font>
      <b/>
      <sz val="11"/>
      <color indexed="10"/>
      <name val="Calibri"/>
      <family val="2"/>
      <charset val="238"/>
    </font>
    <font>
      <b/>
      <sz val="9"/>
      <color indexed="8"/>
      <name val="Times New Roman"/>
      <family val="1"/>
    </font>
    <font>
      <b/>
      <sz val="9"/>
      <color theme="5" tint="-0.249977111117893"/>
      <name val="Times New Roman"/>
      <family val="1"/>
    </font>
    <font>
      <b/>
      <sz val="9"/>
      <color rgb="FFC00000"/>
      <name val="Times New Roman"/>
      <family val="1"/>
    </font>
    <font>
      <sz val="9"/>
      <name val="Times New Roman"/>
      <family val="1"/>
    </font>
    <font>
      <b/>
      <sz val="9"/>
      <color theme="0"/>
      <name val="Times New Roman"/>
      <family val="1"/>
    </font>
    <font>
      <b/>
      <sz val="11"/>
      <color theme="0"/>
      <name val="Calibri"/>
      <family val="2"/>
      <charset val="238"/>
    </font>
    <font>
      <sz val="9"/>
      <color indexed="63"/>
      <name val="Times New Roman"/>
      <family val="1"/>
    </font>
    <font>
      <b/>
      <sz val="8"/>
      <color rgb="FF000000"/>
      <name val="Calibri"/>
      <family val="2"/>
      <scheme val="minor"/>
    </font>
    <font>
      <b/>
      <sz val="8"/>
      <color theme="0"/>
      <name val="Calibri"/>
      <family val="2"/>
      <scheme val="minor"/>
    </font>
    <font>
      <i/>
      <sz val="11"/>
      <color theme="1"/>
      <name val="Calibri"/>
      <family val="2"/>
      <scheme val="minor"/>
    </font>
    <font>
      <i/>
      <sz val="11"/>
      <color indexed="8"/>
      <name val="Calibri"/>
      <family val="2"/>
      <charset val="238"/>
    </font>
    <font>
      <i/>
      <sz val="9"/>
      <color indexed="10"/>
      <name val="Times New Roman"/>
      <family val="1"/>
    </font>
    <font>
      <b/>
      <i/>
      <sz val="9"/>
      <color indexed="10"/>
      <name val="Times New Roman"/>
      <family val="1"/>
    </font>
    <font>
      <i/>
      <sz val="9"/>
      <color indexed="8"/>
      <name val="Times New Roman"/>
      <family val="1"/>
    </font>
    <font>
      <sz val="11"/>
      <color theme="0"/>
      <name val="Calibri"/>
      <family val="2"/>
      <scheme val="minor"/>
    </font>
    <font>
      <sz val="12"/>
      <color indexed="8"/>
      <name val="Times New Roman"/>
      <family val="1"/>
    </font>
    <font>
      <b/>
      <sz val="10"/>
      <color indexed="8"/>
      <name val="Times New Roman"/>
      <family val="1"/>
    </font>
    <font>
      <b/>
      <sz val="12"/>
      <color indexed="8"/>
      <name val="Times New Roman"/>
      <family val="1"/>
    </font>
    <font>
      <u/>
      <sz val="11"/>
      <color theme="10"/>
      <name val="Calibri"/>
      <family val="2"/>
      <charset val="238"/>
      <scheme val="minor"/>
    </font>
    <font>
      <u/>
      <sz val="11"/>
      <color theme="11"/>
      <name val="Calibri"/>
      <family val="2"/>
      <charset val="238"/>
      <scheme val="minor"/>
    </font>
    <font>
      <sz val="8"/>
      <name val="Calibri"/>
      <family val="2"/>
      <charset val="238"/>
      <scheme val="minor"/>
    </font>
    <font>
      <sz val="10"/>
      <color theme="1"/>
      <name val="Calibri"/>
      <family val="2"/>
      <charset val="238"/>
      <scheme val="minor"/>
    </font>
    <font>
      <b/>
      <sz val="10"/>
      <color theme="1"/>
      <name val="Calibri"/>
      <family val="2"/>
      <charset val="238"/>
      <scheme val="minor"/>
    </font>
    <font>
      <b/>
      <sz val="10"/>
      <name val="Calibri"/>
      <family val="2"/>
      <charset val="238"/>
      <scheme val="minor"/>
    </font>
    <font>
      <b/>
      <i/>
      <sz val="10"/>
      <color theme="1"/>
      <name val="Calibri"/>
      <family val="2"/>
      <charset val="238"/>
      <scheme val="minor"/>
    </font>
    <font>
      <b/>
      <sz val="10"/>
      <color rgb="FFFF0000"/>
      <name val="Calibri"/>
      <family val="2"/>
      <charset val="238"/>
      <scheme val="minor"/>
    </font>
    <font>
      <sz val="10"/>
      <name val="Calibri"/>
      <family val="2"/>
      <charset val="238"/>
      <scheme val="minor"/>
    </font>
    <font>
      <sz val="11"/>
      <color theme="1"/>
      <name val="Calibri"/>
      <family val="2"/>
      <charset val="238"/>
      <scheme val="minor"/>
    </font>
    <font>
      <sz val="11"/>
      <color rgb="FF006100"/>
      <name val="Calibri"/>
      <family val="2"/>
      <charset val="238"/>
      <scheme val="minor"/>
    </font>
    <font>
      <sz val="10"/>
      <name val="Helv"/>
    </font>
    <font>
      <b/>
      <sz val="10"/>
      <name val="Arial"/>
      <family val="2"/>
      <charset val="238"/>
    </font>
    <font>
      <b/>
      <sz val="10"/>
      <name val="Arial"/>
      <family val="2"/>
    </font>
    <font>
      <b/>
      <sz val="10"/>
      <color rgb="FF444444"/>
      <name val="Calibri"/>
      <family val="2"/>
      <charset val="238"/>
      <scheme val="minor"/>
    </font>
    <font>
      <sz val="10"/>
      <name val="Helv"/>
      <charset val="204"/>
    </font>
    <font>
      <sz val="11"/>
      <color indexed="8"/>
      <name val="Calibri"/>
      <family val="2"/>
    </font>
    <font>
      <sz val="11"/>
      <color indexed="9"/>
      <name val="Calibri"/>
      <family val="2"/>
    </font>
    <font>
      <sz val="11"/>
      <color indexed="20"/>
      <name val="Calibri"/>
      <family val="2"/>
    </font>
    <font>
      <sz val="11"/>
      <color indexed="17"/>
      <name val="Calibri"/>
      <family val="2"/>
      <charset val="238"/>
    </font>
    <font>
      <b/>
      <sz val="11"/>
      <color indexed="52"/>
      <name val="Calibri"/>
      <family val="2"/>
      <charset val="238"/>
    </font>
    <font>
      <b/>
      <sz val="11"/>
      <color indexed="52"/>
      <name val="Calibri"/>
      <family val="2"/>
    </font>
    <font>
      <sz val="11"/>
      <color indexed="52"/>
      <name val="Calibri"/>
      <family val="2"/>
      <charset val="238"/>
    </font>
    <font>
      <b/>
      <sz val="11"/>
      <color indexed="9"/>
      <name val="Calibri"/>
      <family val="2"/>
    </font>
    <font>
      <sz val="10"/>
      <name val="Arial"/>
      <family val="2"/>
      <charset val="238"/>
    </font>
    <font>
      <sz val="10"/>
      <name val="Arial"/>
      <family val="2"/>
    </font>
    <font>
      <sz val="11"/>
      <color indexed="20"/>
      <name val="Calibri"/>
      <family val="2"/>
      <charset val="238"/>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b/>
      <sz val="11"/>
      <color indexed="63"/>
      <name val="Calibri"/>
      <family val="2"/>
      <charset val="238"/>
    </font>
    <font>
      <sz val="11"/>
      <color indexed="62"/>
      <name val="Calibri"/>
      <family val="2"/>
    </font>
    <font>
      <sz val="11"/>
      <color indexed="62"/>
      <name val="Calibri"/>
      <family val="2"/>
      <charset val="238"/>
    </font>
    <font>
      <sz val="11"/>
      <color indexed="52"/>
      <name val="Calibri"/>
      <family val="2"/>
    </font>
    <font>
      <sz val="11"/>
      <color indexed="60"/>
      <name val="Calibri"/>
      <family val="2"/>
    </font>
    <font>
      <sz val="11"/>
      <color indexed="60"/>
      <name val="Calibri"/>
      <family val="2"/>
      <charset val="238"/>
    </font>
    <font>
      <sz val="11"/>
      <color indexed="8"/>
      <name val="Calibri"/>
      <family val="2"/>
      <charset val="238"/>
    </font>
    <font>
      <sz val="11"/>
      <color indexed="8"/>
      <name val="Times New Roman"/>
      <family val="2"/>
      <charset val="238"/>
    </font>
    <font>
      <b/>
      <sz val="11"/>
      <color indexed="63"/>
      <name val="Calibri"/>
      <family val="2"/>
    </font>
    <font>
      <sz val="11"/>
      <color indexed="10"/>
      <name val="Calibri"/>
      <family val="2"/>
      <charset val="238"/>
    </font>
    <font>
      <i/>
      <sz val="11"/>
      <color indexed="23"/>
      <name val="Calibri"/>
      <family val="2"/>
      <charset val="238"/>
    </font>
    <font>
      <b/>
      <sz val="18"/>
      <color indexed="56"/>
      <name val="Cambria"/>
      <family val="2"/>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8"/>
      <name val="Calibri"/>
      <family val="2"/>
    </font>
    <font>
      <b/>
      <sz val="11"/>
      <color indexed="9"/>
      <name val="Calibri"/>
      <family val="2"/>
      <charset val="238"/>
    </font>
    <font>
      <sz val="11"/>
      <color indexed="10"/>
      <name val="Calibri"/>
      <family val="2"/>
    </font>
    <font>
      <sz val="12"/>
      <color theme="1"/>
      <name val="Calibri"/>
      <family val="2"/>
      <charset val="238"/>
      <scheme val="minor"/>
    </font>
    <font>
      <b/>
      <sz val="12"/>
      <color theme="1"/>
      <name val="Calibri"/>
      <family val="2"/>
      <charset val="238"/>
      <scheme val="minor"/>
    </font>
    <font>
      <sz val="12"/>
      <name val="Calibri"/>
      <family val="2"/>
      <charset val="238"/>
      <scheme val="minor"/>
    </font>
    <font>
      <b/>
      <sz val="12"/>
      <name val="Calibri"/>
      <family val="2"/>
      <charset val="238"/>
      <scheme val="minor"/>
    </font>
    <font>
      <b/>
      <i/>
      <sz val="12"/>
      <color theme="1"/>
      <name val="Calibri"/>
      <family val="2"/>
      <charset val="238"/>
      <scheme val="minor"/>
    </font>
    <font>
      <sz val="12"/>
      <color theme="0"/>
      <name val="Calibri"/>
      <family val="2"/>
      <charset val="238"/>
      <scheme val="minor"/>
    </font>
    <font>
      <sz val="12"/>
      <name val="Calibri"/>
      <family val="2"/>
      <scheme val="minor"/>
    </font>
    <font>
      <b/>
      <sz val="16"/>
      <color theme="1"/>
      <name val="Calibri"/>
      <family val="2"/>
      <charset val="238"/>
      <scheme val="minor"/>
    </font>
    <font>
      <sz val="11"/>
      <color theme="1"/>
      <name val="Calibri"/>
      <family val="2"/>
      <scheme val="minor"/>
    </font>
    <font>
      <sz val="12"/>
      <color rgb="FFFF0000"/>
      <name val="Calibri"/>
      <family val="2"/>
      <scheme val="minor"/>
    </font>
    <font>
      <b/>
      <sz val="16"/>
      <name val="Calibri"/>
      <family val="2"/>
      <charset val="238"/>
      <scheme val="minor"/>
    </font>
    <font>
      <b/>
      <sz val="12"/>
      <color rgb="FFFF0000"/>
      <name val="Calibri"/>
      <family val="2"/>
      <scheme val="minor"/>
    </font>
    <font>
      <b/>
      <sz val="12"/>
      <name val="Calibri"/>
      <family val="2"/>
      <scheme val="minor"/>
    </font>
    <font>
      <sz val="12"/>
      <color theme="1"/>
      <name val="Calibri"/>
      <family val="2"/>
      <scheme val="minor"/>
    </font>
    <font>
      <b/>
      <sz val="12"/>
      <color theme="1"/>
      <name val="Calibri"/>
      <family val="2"/>
      <scheme val="minor"/>
    </font>
    <font>
      <sz val="12"/>
      <color rgb="FF00B050"/>
      <name val="Calibri"/>
      <family val="2"/>
      <scheme val="minor"/>
    </font>
    <font>
      <u/>
      <sz val="12"/>
      <color theme="10"/>
      <name val="Calibri"/>
      <family val="2"/>
      <scheme val="minor"/>
    </font>
    <font>
      <b/>
      <i/>
      <sz val="12"/>
      <name val="Calibri"/>
      <family val="2"/>
      <scheme val="minor"/>
    </font>
    <font>
      <b/>
      <sz val="10"/>
      <name val="Trebuchet MS"/>
      <family val="2"/>
    </font>
    <font>
      <b/>
      <sz val="10"/>
      <name val="Calibri"/>
      <family val="2"/>
      <scheme val="minor"/>
    </font>
  </fonts>
  <fills count="42">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46"/>
        <bgColor indexed="64"/>
      </patternFill>
    </fill>
    <fill>
      <patternFill patternType="solid">
        <fgColor indexed="13"/>
        <bgColor indexed="64"/>
      </patternFill>
    </fill>
    <fill>
      <patternFill patternType="solid">
        <fgColor indexed="47"/>
        <bgColor indexed="64"/>
      </patternFill>
    </fill>
    <fill>
      <patternFill patternType="solid">
        <fgColor indexed="11"/>
        <bgColor indexed="64"/>
      </patternFill>
    </fill>
    <fill>
      <patternFill patternType="solid">
        <fgColor indexed="9"/>
        <bgColor indexed="64"/>
      </patternFill>
    </fill>
    <fill>
      <patternFill patternType="solid">
        <fgColor indexed="27"/>
        <bgColor indexed="64"/>
      </patternFill>
    </fill>
    <fill>
      <patternFill patternType="solid">
        <fgColor theme="9" tint="0.79998168889431442"/>
        <bgColor indexed="64"/>
      </patternFill>
    </fill>
    <fill>
      <patternFill patternType="solid">
        <fgColor indexed="44"/>
        <bgColor indexed="64"/>
      </patternFill>
    </fill>
    <fill>
      <patternFill patternType="solid">
        <fgColor rgb="FFCCFFCC"/>
        <bgColor indexed="64"/>
      </patternFill>
    </fill>
    <fill>
      <patternFill patternType="solid">
        <fgColor theme="5"/>
        <bgColor indexed="64"/>
      </patternFill>
    </fill>
    <fill>
      <patternFill patternType="solid">
        <fgColor theme="9" tint="0.39997558519241921"/>
        <bgColor indexed="64"/>
      </patternFill>
    </fill>
    <fill>
      <patternFill patternType="solid">
        <fgColor rgb="FFC6EFCE"/>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9"/>
        <bgColor indexed="64"/>
      </patternFill>
    </fill>
    <fill>
      <patternFill patternType="solid">
        <fgColor theme="9" tint="0.59999389629810485"/>
        <bgColor indexed="64"/>
      </patternFill>
    </fill>
    <fill>
      <patternFill patternType="solid">
        <fgColor theme="5" tint="0.39997558519241921"/>
        <bgColor indexed="64"/>
      </patternFill>
    </fill>
  </fills>
  <borders count="8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thin">
        <color auto="1"/>
      </left>
      <right style="thin">
        <color auto="1"/>
      </right>
      <top style="medium">
        <color auto="1"/>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auto="1"/>
      </left>
      <right style="thin">
        <color auto="1"/>
      </right>
      <top/>
      <bottom/>
      <diagonal/>
    </border>
    <border>
      <left style="medium">
        <color auto="1"/>
      </left>
      <right style="thin">
        <color auto="1"/>
      </right>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style="medium">
        <color auto="1"/>
      </left>
      <right style="medium">
        <color auto="1"/>
      </right>
      <top style="medium">
        <color auto="1"/>
      </top>
      <bottom style="medium">
        <color auto="1"/>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auto="1"/>
      </left>
      <right/>
      <top style="medium">
        <color auto="1"/>
      </top>
      <bottom style="medium">
        <color auto="1"/>
      </bottom>
      <diagonal/>
    </border>
    <border>
      <left style="medium">
        <color indexed="8"/>
      </left>
      <right style="medium">
        <color indexed="8"/>
      </right>
      <top/>
      <bottom style="medium">
        <color indexed="8"/>
      </bottom>
      <diagonal/>
    </border>
    <border>
      <left style="medium">
        <color indexed="8"/>
      </left>
      <right style="medium">
        <color indexed="8"/>
      </right>
      <top/>
      <bottom/>
      <diagonal/>
    </border>
    <border>
      <left style="medium">
        <color indexed="8"/>
      </left>
      <right style="medium">
        <color indexed="8"/>
      </right>
      <top style="medium">
        <color indexed="8"/>
      </top>
      <bottom/>
      <diagonal/>
    </border>
    <border>
      <left style="medium">
        <color auto="1"/>
      </left>
      <right style="medium">
        <color indexed="8"/>
      </right>
      <top style="medium">
        <color auto="1"/>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right style="medium">
        <color auto="1"/>
      </right>
      <top style="medium">
        <color auto="1"/>
      </top>
      <bottom style="medium">
        <color auto="1"/>
      </bottom>
      <diagonal/>
    </border>
    <border>
      <left/>
      <right/>
      <top style="medium">
        <color indexed="8"/>
      </top>
      <bottom/>
      <diagonal/>
    </border>
    <border>
      <left style="medium">
        <color indexed="8"/>
      </left>
      <right/>
      <top/>
      <bottom/>
      <diagonal/>
    </border>
    <border>
      <left/>
      <right style="medium">
        <color indexed="8"/>
      </right>
      <top style="medium">
        <color indexed="8"/>
      </top>
      <bottom/>
      <diagonal/>
    </border>
    <border>
      <left/>
      <right style="medium">
        <color indexed="8"/>
      </right>
      <top/>
      <bottom/>
      <diagonal/>
    </border>
    <border>
      <left style="medium">
        <color indexed="8"/>
      </left>
      <right/>
      <top style="medium">
        <color indexed="8"/>
      </top>
      <bottom/>
      <diagonal/>
    </border>
    <border>
      <left style="medium">
        <color indexed="8"/>
      </left>
      <right/>
      <top/>
      <bottom style="medium">
        <color indexed="8"/>
      </bottom>
      <diagonal/>
    </border>
    <border>
      <left style="medium">
        <color indexed="8"/>
      </left>
      <right style="medium">
        <color indexed="8"/>
      </right>
      <top style="medium">
        <color auto="1"/>
      </top>
      <bottom style="medium">
        <color indexed="8"/>
      </bottom>
      <diagonal/>
    </border>
    <border>
      <left/>
      <right/>
      <top style="medium">
        <color auto="1"/>
      </top>
      <bottom style="medium">
        <color auto="1"/>
      </bottom>
      <diagonal/>
    </border>
    <border>
      <left/>
      <right/>
      <top style="thin">
        <color auto="1"/>
      </top>
      <bottom/>
      <diagonal/>
    </border>
    <border>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right style="thin">
        <color auto="1"/>
      </right>
      <top style="medium">
        <color auto="1"/>
      </top>
      <bottom style="medium">
        <color auto="1"/>
      </bottom>
      <diagonal/>
    </border>
    <border>
      <left style="medium">
        <color auto="1"/>
      </left>
      <right style="thin">
        <color auto="1"/>
      </right>
      <top/>
      <bottom style="medium">
        <color auto="1"/>
      </bottom>
      <diagonal/>
    </border>
    <border>
      <left/>
      <right style="thin">
        <color auto="1"/>
      </right>
      <top/>
      <bottom style="medium">
        <color auto="1"/>
      </bottom>
      <diagonal/>
    </border>
    <border>
      <left style="thin">
        <color auto="1"/>
      </left>
      <right style="medium">
        <color auto="1"/>
      </right>
      <top/>
      <bottom style="medium">
        <color auto="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auto="1"/>
      </left>
      <right style="thin">
        <color auto="1"/>
      </right>
      <top style="medium">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auto="1"/>
      </left>
      <right/>
      <top style="medium">
        <color auto="1"/>
      </top>
      <bottom/>
      <diagonal/>
    </border>
    <border>
      <left/>
      <right style="thin">
        <color indexed="64"/>
      </right>
      <top style="medium">
        <color auto="1"/>
      </top>
      <bottom/>
      <diagonal/>
    </border>
    <border>
      <left style="medium">
        <color auto="1"/>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indexed="64"/>
      </left>
      <right style="thin">
        <color indexed="64"/>
      </right>
      <top/>
      <bottom/>
      <diagonal/>
    </border>
    <border>
      <left/>
      <right style="thin">
        <color indexed="64"/>
      </right>
      <top style="thin">
        <color indexed="64"/>
      </top>
      <bottom/>
      <diagonal/>
    </border>
  </borders>
  <cellStyleXfs count="231">
    <xf numFmtId="0" fontId="0" fillId="0" borderId="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46" fillId="0" borderId="0"/>
    <xf numFmtId="0" fontId="46" fillId="0" borderId="0"/>
    <xf numFmtId="0" fontId="46" fillId="0" borderId="0"/>
    <xf numFmtId="0" fontId="50" fillId="0" borderId="0"/>
    <xf numFmtId="0" fontId="46"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1" fillId="17"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4" fillId="19" borderId="0" applyNumberFormat="0" applyBorder="0" applyAlignment="0" applyProtection="0"/>
    <xf numFmtId="0" fontId="55" fillId="35" borderId="59" applyNumberFormat="0" applyAlignment="0" applyProtection="0"/>
    <xf numFmtId="0" fontId="56" fillId="35" borderId="59" applyNumberFormat="0" applyAlignment="0" applyProtection="0"/>
    <xf numFmtId="0" fontId="56" fillId="35" borderId="59" applyNumberFormat="0" applyAlignment="0" applyProtection="0"/>
    <xf numFmtId="0" fontId="57" fillId="0" borderId="60" applyNumberFormat="0" applyFill="0" applyAlignment="0" applyProtection="0"/>
    <xf numFmtId="0" fontId="58" fillId="36" borderId="61" applyNumberFormat="0" applyAlignment="0" applyProtection="0"/>
    <xf numFmtId="0" fontId="58" fillId="36" borderId="61" applyNumberFormat="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43" fontId="60" fillId="0" borderId="0" applyFont="0" applyFill="0" applyBorder="0" applyAlignment="0" applyProtection="0"/>
    <xf numFmtId="43" fontId="59" fillId="0" borderId="0" applyFont="0" applyFill="0" applyBorder="0" applyAlignment="0" applyProtection="0"/>
    <xf numFmtId="43" fontId="60"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4" fontId="59" fillId="0" borderId="0" applyFont="0" applyFill="0" applyBorder="0" applyAlignment="0" applyProtection="0"/>
    <xf numFmtId="43" fontId="60" fillId="0" borderId="0" applyFont="0" applyFill="0" applyBorder="0" applyAlignment="0" applyProtection="0"/>
    <xf numFmtId="164" fontId="59" fillId="0" borderId="0" applyFont="0" applyFill="0" applyBorder="0" applyAlignment="0" applyProtection="0"/>
    <xf numFmtId="43" fontId="60"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0" fontId="61" fillId="18" borderId="0" applyNumberFormat="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4" fillId="19" borderId="0" applyNumberFormat="0" applyBorder="0" applyAlignment="0" applyProtection="0"/>
    <xf numFmtId="0" fontId="45" fillId="15"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4" fillId="0" borderId="62" applyNumberFormat="0" applyFill="0" applyAlignment="0" applyProtection="0"/>
    <xf numFmtId="0" fontId="64" fillId="0" borderId="62" applyNumberFormat="0" applyFill="0" applyAlignment="0" applyProtection="0"/>
    <xf numFmtId="0" fontId="65" fillId="0" borderId="63" applyNumberFormat="0" applyFill="0" applyAlignment="0" applyProtection="0"/>
    <xf numFmtId="0" fontId="65" fillId="0" borderId="63" applyNumberFormat="0" applyFill="0" applyAlignment="0" applyProtection="0"/>
    <xf numFmtId="0" fontId="66" fillId="0" borderId="64" applyNumberFormat="0" applyFill="0" applyAlignment="0" applyProtection="0"/>
    <xf numFmtId="0" fontId="66" fillId="0" borderId="64"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8" fillId="35" borderId="65" applyNumberFormat="0" applyAlignment="0" applyProtection="0"/>
    <xf numFmtId="0" fontId="69" fillId="22" borderId="59" applyNumberFormat="0" applyAlignment="0" applyProtection="0"/>
    <xf numFmtId="0" fontId="69" fillId="22" borderId="59" applyNumberFormat="0" applyAlignment="0" applyProtection="0"/>
    <xf numFmtId="0" fontId="70" fillId="22" borderId="59" applyNumberFormat="0" applyAlignment="0" applyProtection="0"/>
    <xf numFmtId="0" fontId="71" fillId="0" borderId="60" applyNumberFormat="0" applyFill="0" applyAlignment="0" applyProtection="0"/>
    <xf numFmtId="0" fontId="71" fillId="0" borderId="60" applyNumberFormat="0" applyFill="0" applyAlignment="0" applyProtection="0"/>
    <xf numFmtId="0" fontId="72" fillId="37" borderId="0" applyNumberFormat="0" applyBorder="0" applyAlignment="0" applyProtection="0"/>
    <xf numFmtId="0" fontId="72" fillId="37" borderId="0" applyNumberFormat="0" applyBorder="0" applyAlignment="0" applyProtection="0"/>
    <xf numFmtId="0" fontId="73" fillId="37" borderId="0" applyNumberFormat="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44" fillId="0" borderId="0"/>
    <xf numFmtId="0" fontId="59" fillId="0" borderId="0"/>
    <xf numFmtId="0" fontId="59" fillId="0" borderId="0"/>
    <xf numFmtId="0" fontId="44" fillId="0" borderId="0"/>
    <xf numFmtId="0" fontId="59" fillId="0" borderId="0"/>
    <xf numFmtId="0" fontId="60" fillId="0" borderId="0"/>
    <xf numFmtId="0" fontId="44" fillId="0" borderId="0"/>
    <xf numFmtId="0" fontId="74" fillId="0" borderId="0"/>
    <xf numFmtId="0" fontId="44" fillId="0" borderId="0"/>
    <xf numFmtId="0" fontId="59" fillId="0" borderId="0"/>
    <xf numFmtId="0" fontId="75" fillId="0" borderId="0"/>
    <xf numFmtId="0" fontId="44" fillId="0" borderId="0"/>
    <xf numFmtId="0" fontId="59" fillId="0" borderId="0"/>
    <xf numFmtId="0" fontId="59" fillId="38" borderId="66" applyNumberFormat="0" applyFont="0" applyAlignment="0" applyProtection="0"/>
    <xf numFmtId="0" fontId="60" fillId="38" borderId="66" applyNumberFormat="0" applyFont="0" applyAlignment="0" applyProtection="0"/>
    <xf numFmtId="0" fontId="59" fillId="38" borderId="66" applyNumberFormat="0" applyFont="0" applyAlignment="0" applyProtection="0"/>
    <xf numFmtId="0" fontId="60" fillId="38" borderId="66" applyNumberFormat="0" applyFont="0" applyAlignment="0" applyProtection="0"/>
    <xf numFmtId="0" fontId="59" fillId="38" borderId="66" applyNumberFormat="0" applyFont="0" applyAlignment="0" applyProtection="0"/>
    <xf numFmtId="0" fontId="60" fillId="38" borderId="66" applyNumberFormat="0" applyFont="0" applyAlignment="0" applyProtection="0"/>
    <xf numFmtId="0" fontId="60" fillId="38" borderId="66" applyNumberFormat="0" applyFont="0" applyAlignment="0" applyProtection="0"/>
    <xf numFmtId="0" fontId="59" fillId="38" borderId="66" applyNumberFormat="0" applyFont="0" applyAlignment="0" applyProtection="0"/>
    <xf numFmtId="0" fontId="60" fillId="38" borderId="66" applyNumberFormat="0" applyFont="0" applyAlignment="0" applyProtection="0"/>
    <xf numFmtId="0" fontId="76" fillId="35" borderId="65" applyNumberFormat="0" applyAlignment="0" applyProtection="0"/>
    <xf numFmtId="0" fontId="76" fillId="35" borderId="65" applyNumberFormat="0" applyAlignment="0" applyProtection="0"/>
    <xf numFmtId="9" fontId="60" fillId="0" borderId="0" applyFont="0" applyFill="0" applyBorder="0" applyAlignment="0" applyProtection="0"/>
    <xf numFmtId="9" fontId="60" fillId="0" borderId="0" applyFont="0" applyFill="0" applyBorder="0" applyAlignment="0" applyProtection="0"/>
    <xf numFmtId="9" fontId="59" fillId="0" borderId="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0" fontId="46" fillId="0" borderId="0"/>
    <xf numFmtId="0" fontId="50" fillId="0" borderId="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62" applyNumberFormat="0" applyFill="0" applyAlignment="0" applyProtection="0"/>
    <xf numFmtId="0" fontId="82" fillId="0" borderId="63" applyNumberFormat="0" applyFill="0" applyAlignment="0" applyProtection="0"/>
    <xf numFmtId="0" fontId="83" fillId="0" borderId="64" applyNumberFormat="0" applyFill="0" applyAlignment="0" applyProtection="0"/>
    <xf numFmtId="0" fontId="83" fillId="0" borderId="0" applyNumberFormat="0" applyFill="0" applyBorder="0" applyAlignment="0" applyProtection="0"/>
    <xf numFmtId="0" fontId="84" fillId="0" borderId="67" applyNumberFormat="0" applyFill="0" applyAlignment="0" applyProtection="0"/>
    <xf numFmtId="0" fontId="84" fillId="0" borderId="67" applyNumberFormat="0" applyFill="0" applyAlignment="0" applyProtection="0"/>
    <xf numFmtId="0" fontId="85" fillId="36" borderId="61" applyNumberFormat="0" applyAlignment="0" applyProtection="0"/>
    <xf numFmtId="0" fontId="86" fillId="0" borderId="0" applyNumberFormat="0" applyFill="0" applyBorder="0" applyAlignment="0" applyProtection="0"/>
    <xf numFmtId="0" fontId="86" fillId="0" borderId="0" applyNumberFormat="0" applyFill="0" applyBorder="0" applyAlignment="0" applyProtection="0"/>
    <xf numFmtId="164" fontId="44" fillId="0" borderId="0" applyFont="0" applyFill="0" applyBorder="0" applyAlignment="0" applyProtection="0"/>
    <xf numFmtId="0" fontId="95" fillId="0" borderId="0"/>
    <xf numFmtId="0" fontId="2" fillId="0" borderId="0"/>
    <xf numFmtId="0" fontId="44" fillId="0" borderId="0"/>
    <xf numFmtId="0" fontId="1" fillId="0" borderId="0"/>
    <xf numFmtId="0" fontId="35" fillId="0" borderId="0" applyNumberFormat="0" applyFill="0" applyBorder="0" applyAlignment="0" applyProtection="0"/>
  </cellStyleXfs>
  <cellXfs count="635">
    <xf numFmtId="0" fontId="0" fillId="0" borderId="0" xfId="0"/>
    <xf numFmtId="0" fontId="0" fillId="0" borderId="1" xfId="0" applyBorder="1"/>
    <xf numFmtId="0" fontId="0" fillId="2" borderId="0" xfId="0" applyFill="1"/>
    <xf numFmtId="49" fontId="0" fillId="0" borderId="1" xfId="0" applyNumberFormat="1" applyBorder="1" applyAlignment="1">
      <alignment horizontal="center" vertical="center"/>
    </xf>
    <xf numFmtId="49" fontId="0" fillId="0" borderId="1" xfId="0" applyNumberFormat="1" applyBorder="1" applyAlignment="1">
      <alignment horizontal="center" vertical="center" wrapText="1"/>
    </xf>
    <xf numFmtId="49" fontId="0" fillId="0" borderId="1" xfId="0" applyNumberFormat="1" applyFont="1" applyBorder="1" applyAlignment="1">
      <alignment horizontal="center" vertical="center" wrapText="1"/>
    </xf>
    <xf numFmtId="49" fontId="0" fillId="2" borderId="1" xfId="0" applyNumberFormat="1" applyFont="1" applyFill="1" applyBorder="1" applyAlignment="1">
      <alignment horizontal="center" vertical="center" wrapText="1"/>
    </xf>
    <xf numFmtId="4" fontId="0" fillId="0" borderId="1" xfId="0" applyNumberFormat="1" applyBorder="1" applyAlignment="1">
      <alignment horizontal="center"/>
    </xf>
    <xf numFmtId="4" fontId="5" fillId="0" borderId="1" xfId="0" quotePrefix="1" applyNumberFormat="1" applyFont="1" applyBorder="1" applyAlignment="1">
      <alignment horizontal="center"/>
    </xf>
    <xf numFmtId="0" fontId="5" fillId="0" borderId="1" xfId="0" applyFont="1" applyBorder="1"/>
    <xf numFmtId="4" fontId="7" fillId="0" borderId="1" xfId="0" quotePrefix="1" applyNumberFormat="1" applyFont="1" applyBorder="1" applyAlignment="1">
      <alignment horizontal="center"/>
    </xf>
    <xf numFmtId="0" fontId="7" fillId="0" borderId="1" xfId="0" applyFont="1" applyBorder="1"/>
    <xf numFmtId="4" fontId="0" fillId="0" borderId="1" xfId="0" quotePrefix="1" applyNumberFormat="1" applyBorder="1" applyAlignment="1">
      <alignment horizontal="center"/>
    </xf>
    <xf numFmtId="0" fontId="8" fillId="0" borderId="0" xfId="0" applyFont="1" applyBorder="1"/>
    <xf numFmtId="0" fontId="8" fillId="0" borderId="1" xfId="0" applyFont="1" applyBorder="1" applyAlignment="1">
      <alignment horizontal="center"/>
    </xf>
    <xf numFmtId="0" fontId="8" fillId="0" borderId="1" xfId="0" applyFont="1" applyBorder="1"/>
    <xf numFmtId="4" fontId="8" fillId="0" borderId="0" xfId="0" applyNumberFormat="1" applyFont="1" applyBorder="1"/>
    <xf numFmtId="0" fontId="8" fillId="2" borderId="0" xfId="0" applyFont="1" applyFill="1" applyBorder="1"/>
    <xf numFmtId="165" fontId="8" fillId="2" borderId="0" xfId="0" applyNumberFormat="1" applyFont="1" applyFill="1" applyBorder="1"/>
    <xf numFmtId="4" fontId="8" fillId="2" borderId="0" xfId="0" applyNumberFormat="1" applyFont="1" applyFill="1" applyBorder="1"/>
    <xf numFmtId="4" fontId="9" fillId="2" borderId="0" xfId="0" applyNumberFormat="1" applyFont="1" applyFill="1" applyBorder="1"/>
    <xf numFmtId="4" fontId="10" fillId="2" borderId="0" xfId="0" applyNumberFormat="1" applyFont="1" applyFill="1" applyBorder="1"/>
    <xf numFmtId="0" fontId="10" fillId="0" borderId="0" xfId="0" applyFont="1" applyBorder="1"/>
    <xf numFmtId="4" fontId="8" fillId="3" borderId="0" xfId="0" applyNumberFormat="1" applyFont="1" applyFill="1" applyBorder="1"/>
    <xf numFmtId="2" fontId="8" fillId="2" borderId="0" xfId="0" applyNumberFormat="1" applyFont="1" applyFill="1" applyBorder="1"/>
    <xf numFmtId="2" fontId="10" fillId="2" borderId="0" xfId="0" applyNumberFormat="1" applyFont="1" applyFill="1" applyBorder="1"/>
    <xf numFmtId="4" fontId="11" fillId="2" borderId="0" xfId="0" applyNumberFormat="1" applyFont="1" applyFill="1" applyBorder="1"/>
    <xf numFmtId="0" fontId="10" fillId="2" borderId="0" xfId="0" applyFont="1" applyFill="1" applyBorder="1"/>
    <xf numFmtId="0" fontId="10" fillId="0" borderId="0" xfId="0" applyFont="1" applyFill="1" applyBorder="1"/>
    <xf numFmtId="2" fontId="11" fillId="2" borderId="0" xfId="0" applyNumberFormat="1" applyFont="1" applyFill="1" applyBorder="1"/>
    <xf numFmtId="0" fontId="11" fillId="2" borderId="0" xfId="0" applyFont="1" applyFill="1" applyBorder="1"/>
    <xf numFmtId="0" fontId="11" fillId="0" borderId="0" xfId="0" applyFont="1" applyFill="1" applyBorder="1"/>
    <xf numFmtId="4" fontId="12" fillId="2" borderId="0" xfId="0" applyNumberFormat="1" applyFont="1" applyFill="1" applyBorder="1" applyAlignment="1">
      <alignment horizontal="center"/>
    </xf>
    <xf numFmtId="0" fontId="0" fillId="4" borderId="12" xfId="0" applyFill="1" applyBorder="1"/>
    <xf numFmtId="4" fontId="13" fillId="4" borderId="12" xfId="0" applyNumberFormat="1" applyFont="1" applyFill="1" applyBorder="1" applyAlignment="1">
      <alignment horizontal="center"/>
    </xf>
    <xf numFmtId="2" fontId="13" fillId="4" borderId="12" xfId="0" applyNumberFormat="1" applyFont="1" applyFill="1" applyBorder="1" applyAlignment="1">
      <alignment horizontal="center"/>
    </xf>
    <xf numFmtId="0" fontId="13" fillId="4" borderId="12" xfId="0" applyFont="1" applyFill="1" applyBorder="1"/>
    <xf numFmtId="0" fontId="0" fillId="4" borderId="25" xfId="0" applyFill="1" applyBorder="1"/>
    <xf numFmtId="4" fontId="13" fillId="4" borderId="25" xfId="0" applyNumberFormat="1" applyFont="1" applyFill="1" applyBorder="1" applyAlignment="1">
      <alignment horizontal="center"/>
    </xf>
    <xf numFmtId="0" fontId="13" fillId="4" borderId="25" xfId="0" applyFont="1" applyFill="1" applyBorder="1"/>
    <xf numFmtId="0" fontId="14" fillId="0" borderId="0" xfId="0" applyFont="1" applyAlignment="1">
      <alignment vertical="center" wrapText="1"/>
    </xf>
    <xf numFmtId="0" fontId="0" fillId="5" borderId="26" xfId="0" applyFill="1" applyBorder="1"/>
    <xf numFmtId="0" fontId="15" fillId="5" borderId="27" xfId="0" applyFont="1" applyFill="1" applyBorder="1" applyAlignment="1">
      <alignment vertical="center" wrapText="1"/>
    </xf>
    <xf numFmtId="10" fontId="13" fillId="5" borderId="25" xfId="0" applyNumberFormat="1" applyFont="1" applyFill="1" applyBorder="1" applyAlignment="1">
      <alignment horizontal="center" vertical="center" wrapText="1"/>
    </xf>
    <xf numFmtId="4" fontId="13" fillId="5" borderId="25" xfId="0" applyNumberFormat="1" applyFont="1" applyFill="1" applyBorder="1" applyAlignment="1">
      <alignment horizontal="center" vertical="center" wrapText="1"/>
    </xf>
    <xf numFmtId="4" fontId="13" fillId="5" borderId="28" xfId="0" applyNumberFormat="1" applyFont="1" applyFill="1" applyBorder="1" applyAlignment="1">
      <alignment horizontal="center" vertical="center" wrapText="1"/>
    </xf>
    <xf numFmtId="4" fontId="13" fillId="5" borderId="26" xfId="0" applyNumberFormat="1" applyFont="1" applyFill="1" applyBorder="1" applyAlignment="1">
      <alignment horizontal="center" vertical="center" wrapText="1"/>
    </xf>
    <xf numFmtId="0" fontId="16" fillId="5" borderId="26" xfId="0" applyFont="1" applyFill="1" applyBorder="1" applyAlignment="1">
      <alignment vertical="top" wrapText="1"/>
    </xf>
    <xf numFmtId="0" fontId="13" fillId="5" borderId="26" xfId="0" applyFont="1" applyFill="1" applyBorder="1" applyAlignment="1">
      <alignment vertical="center" wrapText="1"/>
    </xf>
    <xf numFmtId="0" fontId="15" fillId="0" borderId="26" xfId="0" applyFont="1" applyBorder="1" applyAlignment="1">
      <alignment horizontal="justify" vertical="center" wrapText="1"/>
    </xf>
    <xf numFmtId="0" fontId="0" fillId="6" borderId="12" xfId="0" applyFill="1" applyBorder="1"/>
    <xf numFmtId="0" fontId="15" fillId="0" borderId="26" xfId="0" applyFont="1" applyBorder="1" applyAlignment="1">
      <alignment horizontal="center" vertical="center" wrapText="1"/>
    </xf>
    <xf numFmtId="4" fontId="17" fillId="0" borderId="26" xfId="0" applyNumberFormat="1" applyFont="1" applyBorder="1" applyAlignment="1">
      <alignment horizontal="center" vertical="center" wrapText="1"/>
    </xf>
    <xf numFmtId="4" fontId="15" fillId="0" borderId="26" xfId="0" applyNumberFormat="1" applyFont="1" applyBorder="1" applyAlignment="1">
      <alignment horizontal="center" vertical="center" wrapText="1"/>
    </xf>
    <xf numFmtId="4" fontId="18" fillId="0" borderId="26" xfId="0" applyNumberFormat="1" applyFont="1" applyBorder="1" applyAlignment="1">
      <alignment horizontal="center" vertical="center" wrapText="1"/>
    </xf>
    <xf numFmtId="4" fontId="19" fillId="0" borderId="26" xfId="0" applyNumberFormat="1" applyFont="1" applyBorder="1" applyAlignment="1">
      <alignment horizontal="center" vertical="center" wrapText="1"/>
    </xf>
    <xf numFmtId="0" fontId="0" fillId="5" borderId="12" xfId="0" applyFill="1" applyBorder="1"/>
    <xf numFmtId="0" fontId="0" fillId="5" borderId="14" xfId="0" applyFill="1" applyBorder="1"/>
    <xf numFmtId="4" fontId="13" fillId="5" borderId="13" xfId="0" applyNumberFormat="1" applyFont="1" applyFill="1" applyBorder="1" applyAlignment="1">
      <alignment horizontal="center"/>
    </xf>
    <xf numFmtId="4" fontId="13" fillId="5" borderId="14" xfId="0" applyNumberFormat="1" applyFont="1" applyFill="1" applyBorder="1" applyAlignment="1">
      <alignment horizontal="center"/>
    </xf>
    <xf numFmtId="4" fontId="13" fillId="5" borderId="31" xfId="0" applyNumberFormat="1" applyFont="1" applyFill="1" applyBorder="1" applyAlignment="1">
      <alignment horizontal="center"/>
    </xf>
    <xf numFmtId="0" fontId="0" fillId="5" borderId="31" xfId="0" applyFill="1" applyBorder="1" applyAlignment="1">
      <alignment horizontal="center"/>
    </xf>
    <xf numFmtId="0" fontId="13" fillId="5" borderId="32" xfId="0" applyFont="1" applyFill="1" applyBorder="1"/>
    <xf numFmtId="0" fontId="14" fillId="0" borderId="0" xfId="0" applyFont="1" applyBorder="1" applyAlignment="1">
      <alignment vertical="center" wrapText="1"/>
    </xf>
    <xf numFmtId="0" fontId="15" fillId="0" borderId="33" xfId="0" applyFont="1" applyBorder="1" applyAlignment="1">
      <alignment horizontal="center" vertical="center" wrapText="1"/>
    </xf>
    <xf numFmtId="0" fontId="15" fillId="0" borderId="25" xfId="0" applyFont="1" applyBorder="1" applyAlignment="1">
      <alignment horizontal="center" vertical="center" wrapText="1"/>
    </xf>
    <xf numFmtId="4" fontId="12" fillId="0" borderId="28" xfId="0" applyNumberFormat="1" applyFont="1" applyBorder="1" applyAlignment="1">
      <alignment horizontal="center" vertical="center" wrapText="1"/>
    </xf>
    <xf numFmtId="4" fontId="20" fillId="0" borderId="28" xfId="0" applyNumberFormat="1" applyFont="1" applyBorder="1" applyAlignment="1">
      <alignment horizontal="center" vertical="center" wrapText="1"/>
    </xf>
    <xf numFmtId="4" fontId="18" fillId="0" borderId="28" xfId="0" applyNumberFormat="1" applyFont="1" applyBorder="1" applyAlignment="1">
      <alignment horizontal="center" vertical="center" wrapText="1"/>
    </xf>
    <xf numFmtId="4" fontId="12" fillId="0" borderId="34" xfId="0" applyNumberFormat="1" applyFont="1" applyBorder="1" applyAlignment="1">
      <alignment horizontal="center" vertical="center" wrapText="1"/>
    </xf>
    <xf numFmtId="0" fontId="15" fillId="0" borderId="35" xfId="0" applyFont="1" applyBorder="1" applyAlignment="1">
      <alignment horizontal="justify" vertical="center" wrapText="1"/>
    </xf>
    <xf numFmtId="0" fontId="15" fillId="0" borderId="25" xfId="0" applyFont="1" applyBorder="1" applyAlignment="1">
      <alignment horizontal="justify" vertical="center" wrapText="1"/>
    </xf>
    <xf numFmtId="10" fontId="20" fillId="0" borderId="28" xfId="0" applyNumberFormat="1" applyFont="1" applyBorder="1" applyAlignment="1">
      <alignment horizontal="center" vertical="center" wrapText="1"/>
    </xf>
    <xf numFmtId="4" fontId="19" fillId="0" borderId="28" xfId="0" applyNumberFormat="1" applyFont="1" applyBorder="1" applyAlignment="1">
      <alignment horizontal="center" vertical="center" wrapText="1"/>
    </xf>
    <xf numFmtId="4" fontId="12" fillId="0" borderId="26" xfId="0" quotePrefix="1" applyNumberFormat="1" applyFont="1" applyBorder="1" applyAlignment="1">
      <alignment horizontal="center" vertical="center" wrapText="1"/>
    </xf>
    <xf numFmtId="0" fontId="15" fillId="5" borderId="26" xfId="0" applyFont="1" applyFill="1" applyBorder="1" applyAlignment="1">
      <alignment horizontal="justify" vertical="center" wrapText="1"/>
    </xf>
    <xf numFmtId="0" fontId="13" fillId="5" borderId="26" xfId="0" applyFont="1" applyFill="1" applyBorder="1" applyAlignment="1">
      <alignment horizontal="center" vertical="center" wrapText="1"/>
    </xf>
    <xf numFmtId="0" fontId="15" fillId="0" borderId="27" xfId="0" applyFont="1" applyBorder="1" applyAlignment="1">
      <alignment horizontal="justify" vertical="center" wrapText="1"/>
    </xf>
    <xf numFmtId="4" fontId="0" fillId="0" borderId="25" xfId="0" applyNumberFormat="1" applyBorder="1"/>
    <xf numFmtId="4" fontId="12" fillId="0" borderId="26" xfId="0" applyNumberFormat="1" applyFont="1" applyBorder="1" applyAlignment="1">
      <alignment horizontal="center" vertical="center" wrapText="1"/>
    </xf>
    <xf numFmtId="4" fontId="14" fillId="0" borderId="0" xfId="0" applyNumberFormat="1" applyFont="1" applyBorder="1" applyAlignment="1">
      <alignment vertical="center" wrapText="1"/>
    </xf>
    <xf numFmtId="0" fontId="15" fillId="0" borderId="26" xfId="0" applyFont="1" applyBorder="1" applyAlignment="1">
      <alignment vertical="center" wrapText="1"/>
    </xf>
    <xf numFmtId="4" fontId="13" fillId="0" borderId="26" xfId="0" applyNumberFormat="1" applyFont="1" applyBorder="1" applyAlignment="1">
      <alignment horizontal="center" vertical="center" wrapText="1"/>
    </xf>
    <xf numFmtId="0" fontId="16" fillId="0" borderId="26" xfId="0" applyFont="1" applyBorder="1" applyAlignment="1">
      <alignment horizontal="center" vertical="top" wrapText="1"/>
    </xf>
    <xf numFmtId="0" fontId="13" fillId="0" borderId="26" xfId="0" applyFont="1" applyBorder="1" applyAlignment="1">
      <alignment vertical="center" wrapText="1"/>
    </xf>
    <xf numFmtId="0" fontId="15" fillId="0" borderId="27" xfId="0" applyFont="1" applyBorder="1" applyAlignment="1">
      <alignment vertical="center" wrapText="1"/>
    </xf>
    <xf numFmtId="0" fontId="15" fillId="0" borderId="25" xfId="0" applyFont="1" applyBorder="1" applyAlignment="1">
      <alignment vertical="center" wrapText="1"/>
    </xf>
    <xf numFmtId="4" fontId="0" fillId="0" borderId="28" xfId="0" applyNumberFormat="1" applyBorder="1"/>
    <xf numFmtId="4" fontId="13" fillId="0" borderId="28" xfId="0" applyNumberFormat="1" applyFont="1" applyBorder="1" applyAlignment="1">
      <alignment horizontal="center" vertical="center" wrapText="1"/>
    </xf>
    <xf numFmtId="4" fontId="13" fillId="0" borderId="34" xfId="0" applyNumberFormat="1" applyFont="1" applyBorder="1" applyAlignment="1">
      <alignment horizontal="center" vertical="center" wrapText="1"/>
    </xf>
    <xf numFmtId="4" fontId="15" fillId="0" borderId="28" xfId="0" applyNumberFormat="1" applyFont="1" applyBorder="1" applyAlignment="1">
      <alignment horizontal="justify" vertical="center" wrapText="1"/>
    </xf>
    <xf numFmtId="0" fontId="0" fillId="7" borderId="26" xfId="0" applyFill="1" applyBorder="1"/>
    <xf numFmtId="0" fontId="15" fillId="7" borderId="27" xfId="0" applyFont="1" applyFill="1" applyBorder="1" applyAlignment="1">
      <alignment vertical="center" wrapText="1"/>
    </xf>
    <xf numFmtId="10" fontId="21" fillId="7" borderId="25" xfId="0" applyNumberFormat="1" applyFont="1" applyFill="1" applyBorder="1" applyAlignment="1">
      <alignment horizontal="center" vertical="center" wrapText="1"/>
    </xf>
    <xf numFmtId="4" fontId="21" fillId="7" borderId="25" xfId="0" applyNumberFormat="1" applyFont="1" applyFill="1" applyBorder="1" applyAlignment="1">
      <alignment horizontal="center" vertical="center" wrapText="1"/>
    </xf>
    <xf numFmtId="4" fontId="21" fillId="7" borderId="28" xfId="0" applyNumberFormat="1" applyFont="1" applyFill="1" applyBorder="1" applyAlignment="1">
      <alignment horizontal="center" vertical="center" wrapText="1"/>
    </xf>
    <xf numFmtId="4" fontId="21" fillId="7" borderId="34" xfId="0" applyNumberFormat="1" applyFont="1" applyFill="1" applyBorder="1" applyAlignment="1">
      <alignment horizontal="center" vertical="center" wrapText="1"/>
    </xf>
    <xf numFmtId="4" fontId="21" fillId="7" borderId="26" xfId="0" applyNumberFormat="1" applyFont="1" applyFill="1" applyBorder="1" applyAlignment="1">
      <alignment horizontal="center" vertical="center" wrapText="1"/>
    </xf>
    <xf numFmtId="0" fontId="22" fillId="7" borderId="26" xfId="0" applyFont="1" applyFill="1" applyBorder="1" applyAlignment="1">
      <alignment horizontal="center" vertical="top" wrapText="1"/>
    </xf>
    <xf numFmtId="0" fontId="21" fillId="7" borderId="26" xfId="0" applyFont="1" applyFill="1" applyBorder="1" applyAlignment="1">
      <alignment vertical="center" wrapText="1"/>
    </xf>
    <xf numFmtId="4" fontId="0" fillId="0" borderId="0" xfId="0" applyNumberFormat="1"/>
    <xf numFmtId="0" fontId="14" fillId="0" borderId="37" xfId="0" applyFont="1" applyBorder="1" applyAlignment="1">
      <alignment vertical="center" wrapText="1"/>
    </xf>
    <xf numFmtId="0" fontId="15" fillId="0" borderId="33" xfId="0" applyFont="1" applyBorder="1" applyAlignment="1">
      <alignment horizontal="left" vertical="center" wrapText="1"/>
    </xf>
    <xf numFmtId="0" fontId="0" fillId="0" borderId="25" xfId="0" applyBorder="1" applyAlignment="1">
      <alignment horizontal="center"/>
    </xf>
    <xf numFmtId="4" fontId="14" fillId="0" borderId="0" xfId="0" applyNumberFormat="1" applyFont="1" applyAlignment="1">
      <alignment vertical="center" wrapText="1"/>
    </xf>
    <xf numFmtId="0" fontId="15" fillId="0" borderId="17" xfId="0" applyFont="1" applyBorder="1" applyAlignment="1">
      <alignment horizontal="justify" vertical="center" wrapText="1"/>
    </xf>
    <xf numFmtId="0" fontId="0" fillId="0" borderId="16" xfId="0" applyBorder="1"/>
    <xf numFmtId="4" fontId="17" fillId="0" borderId="29" xfId="0" applyNumberFormat="1" applyFont="1" applyBorder="1" applyAlignment="1">
      <alignment horizontal="center" vertical="center" wrapText="1"/>
    </xf>
    <xf numFmtId="0" fontId="15" fillId="7" borderId="26" xfId="0" applyFont="1" applyFill="1" applyBorder="1" applyAlignment="1">
      <alignment vertical="center" wrapText="1"/>
    </xf>
    <xf numFmtId="10" fontId="13" fillId="7" borderId="35" xfId="0" applyNumberFormat="1" applyFont="1" applyFill="1" applyBorder="1" applyAlignment="1">
      <alignment horizontal="center" vertical="center" wrapText="1"/>
    </xf>
    <xf numFmtId="4" fontId="21" fillId="7" borderId="27" xfId="0" applyNumberFormat="1" applyFont="1" applyFill="1" applyBorder="1" applyAlignment="1">
      <alignment horizontal="center" vertical="center" wrapText="1"/>
    </xf>
    <xf numFmtId="0" fontId="21" fillId="7" borderId="34" xfId="0" applyFont="1" applyFill="1" applyBorder="1" applyAlignment="1">
      <alignment horizontal="center" vertical="center" wrapText="1"/>
    </xf>
    <xf numFmtId="0" fontId="23" fillId="0" borderId="25" xfId="0" applyFont="1" applyBorder="1" applyAlignment="1">
      <alignment horizontal="center" vertical="center" wrapText="1"/>
    </xf>
    <xf numFmtId="4" fontId="24" fillId="2" borderId="0" xfId="0" applyNumberFormat="1" applyFont="1" applyFill="1" applyAlignment="1">
      <alignment horizontal="center"/>
    </xf>
    <xf numFmtId="4" fontId="12" fillId="0" borderId="25" xfId="0" applyNumberFormat="1" applyFont="1" applyBorder="1" applyAlignment="1">
      <alignment horizontal="center" vertical="center" wrapText="1"/>
    </xf>
    <xf numFmtId="4" fontId="17" fillId="0" borderId="31" xfId="0" applyNumberFormat="1" applyFont="1" applyBorder="1" applyAlignment="1">
      <alignment horizontal="center" vertical="center" wrapText="1"/>
    </xf>
    <xf numFmtId="0" fontId="15" fillId="0" borderId="38" xfId="0" applyFont="1" applyBorder="1" applyAlignment="1">
      <alignment horizontal="left" vertical="center" wrapText="1"/>
    </xf>
    <xf numFmtId="10" fontId="0" fillId="0" borderId="25" xfId="0" applyNumberFormat="1" applyBorder="1" applyAlignment="1">
      <alignment horizontal="center"/>
    </xf>
    <xf numFmtId="0" fontId="15" fillId="0" borderId="39" xfId="0" applyFont="1" applyBorder="1" applyAlignment="1">
      <alignment horizontal="justify" vertical="center" wrapText="1"/>
    </xf>
    <xf numFmtId="4" fontId="0" fillId="0" borderId="25" xfId="0" applyNumberFormat="1" applyBorder="1" applyAlignment="1">
      <alignment horizontal="center"/>
    </xf>
    <xf numFmtId="0" fontId="15" fillId="7" borderId="26" xfId="0" applyFont="1" applyFill="1" applyBorder="1" applyAlignment="1">
      <alignment horizontal="justify" vertical="center" wrapText="1"/>
    </xf>
    <xf numFmtId="10" fontId="13" fillId="7" borderId="25" xfId="0" applyNumberFormat="1" applyFont="1" applyFill="1" applyBorder="1" applyAlignment="1">
      <alignment horizontal="center" vertical="center" wrapText="1"/>
    </xf>
    <xf numFmtId="4" fontId="18" fillId="7" borderId="28" xfId="0" applyNumberFormat="1" applyFont="1" applyFill="1" applyBorder="1" applyAlignment="1">
      <alignment horizontal="center" vertical="center" wrapText="1"/>
    </xf>
    <xf numFmtId="0" fontId="21" fillId="7" borderId="26" xfId="0" applyFont="1" applyFill="1" applyBorder="1" applyAlignment="1">
      <alignment horizontal="center" vertical="center" wrapText="1"/>
    </xf>
    <xf numFmtId="0" fontId="15" fillId="0" borderId="38" xfId="0" applyFont="1" applyBorder="1" applyAlignment="1">
      <alignment vertical="center" wrapText="1"/>
    </xf>
    <xf numFmtId="0" fontId="0" fillId="0" borderId="25" xfId="0" applyBorder="1"/>
    <xf numFmtId="10" fontId="12" fillId="0" borderId="28" xfId="0" applyNumberFormat="1" applyFont="1" applyBorder="1" applyAlignment="1">
      <alignment horizontal="center" vertical="center" wrapText="1"/>
    </xf>
    <xf numFmtId="4" fontId="12" fillId="0" borderId="40" xfId="0" applyNumberFormat="1" applyFont="1" applyBorder="1" applyAlignment="1">
      <alignment horizontal="center" vertical="center" wrapText="1"/>
    </xf>
    <xf numFmtId="0" fontId="15" fillId="0" borderId="29" xfId="0" applyFont="1" applyBorder="1" applyAlignment="1">
      <alignment horizontal="justify" vertical="center" wrapText="1"/>
    </xf>
    <xf numFmtId="4" fontId="12" fillId="0" borderId="18" xfId="0" applyNumberFormat="1" applyFont="1" applyBorder="1" applyAlignment="1">
      <alignment horizontal="center" vertical="center" wrapText="1"/>
    </xf>
    <xf numFmtId="10" fontId="12" fillId="0" borderId="18" xfId="0" applyNumberFormat="1" applyFont="1" applyBorder="1" applyAlignment="1">
      <alignment horizontal="center" vertical="center" wrapText="1"/>
    </xf>
    <xf numFmtId="4" fontId="18" fillId="0" borderId="18" xfId="0" applyNumberFormat="1" applyFont="1" applyBorder="1" applyAlignment="1">
      <alignment horizontal="center" vertical="center" wrapText="1"/>
    </xf>
    <xf numFmtId="4" fontId="12" fillId="0" borderId="41" xfId="0" applyNumberFormat="1" applyFont="1" applyBorder="1" applyAlignment="1">
      <alignment horizontal="center" vertical="center" wrapText="1"/>
    </xf>
    <xf numFmtId="0" fontId="15" fillId="8" borderId="26" xfId="0" applyFont="1" applyFill="1" applyBorder="1" applyAlignment="1">
      <alignment horizontal="justify" vertical="center" wrapText="1"/>
    </xf>
    <xf numFmtId="0" fontId="15" fillId="8" borderId="26" xfId="0" applyFont="1" applyFill="1" applyBorder="1" applyAlignment="1">
      <alignment vertical="center" wrapText="1"/>
    </xf>
    <xf numFmtId="0" fontId="23" fillId="8" borderId="26" xfId="0" applyFont="1" applyFill="1" applyBorder="1" applyAlignment="1">
      <alignment vertical="center" wrapText="1"/>
    </xf>
    <xf numFmtId="4" fontId="25" fillId="0" borderId="26" xfId="0" applyNumberFormat="1" applyFont="1" applyBorder="1" applyAlignment="1">
      <alignment horizontal="center"/>
    </xf>
    <xf numFmtId="4" fontId="13" fillId="9" borderId="26" xfId="0" applyNumberFormat="1" applyFont="1" applyFill="1" applyBorder="1" applyAlignment="1">
      <alignment horizontal="center" vertical="center" wrapText="1"/>
    </xf>
    <xf numFmtId="0" fontId="15" fillId="9" borderId="26" xfId="0" applyFont="1" applyFill="1" applyBorder="1" applyAlignment="1">
      <alignment horizontal="center" vertical="center" wrapText="1"/>
    </xf>
    <xf numFmtId="0" fontId="13" fillId="9" borderId="26" xfId="0" applyFont="1" applyFill="1" applyBorder="1" applyAlignment="1">
      <alignment vertical="center" wrapText="1"/>
    </xf>
    <xf numFmtId="0" fontId="15" fillId="9" borderId="26" xfId="0" applyFont="1" applyFill="1" applyBorder="1" applyAlignment="1">
      <alignment horizontal="justify" vertical="center" wrapText="1"/>
    </xf>
    <xf numFmtId="0" fontId="15" fillId="9" borderId="26" xfId="0" applyFont="1" applyFill="1" applyBorder="1" applyAlignment="1">
      <alignment vertical="center" wrapText="1"/>
    </xf>
    <xf numFmtId="10" fontId="13" fillId="9" borderId="26" xfId="0" applyNumberFormat="1" applyFont="1" applyFill="1" applyBorder="1" applyAlignment="1">
      <alignment horizontal="center" vertical="center" wrapText="1"/>
    </xf>
    <xf numFmtId="4" fontId="13" fillId="3" borderId="26" xfId="0" applyNumberFormat="1" applyFont="1" applyFill="1" applyBorder="1" applyAlignment="1">
      <alignment horizontal="center" vertical="center" wrapText="1"/>
    </xf>
    <xf numFmtId="0" fontId="15" fillId="0" borderId="26" xfId="0" applyFont="1" applyBorder="1" applyAlignment="1">
      <alignment horizontal="left" vertical="center" wrapText="1"/>
    </xf>
    <xf numFmtId="10" fontId="26" fillId="10" borderId="26" xfId="0" applyNumberFormat="1" applyFont="1" applyFill="1" applyBorder="1" applyAlignment="1">
      <alignment wrapText="1"/>
    </xf>
    <xf numFmtId="4" fontId="17" fillId="2" borderId="26" xfId="0" applyNumberFormat="1" applyFont="1" applyFill="1" applyBorder="1" applyAlignment="1">
      <alignment horizontal="center" vertical="center" wrapText="1"/>
    </xf>
    <xf numFmtId="4" fontId="12" fillId="2" borderId="26" xfId="0" applyNumberFormat="1" applyFont="1" applyFill="1" applyBorder="1" applyAlignment="1">
      <alignment horizontal="center" vertical="center" wrapText="1"/>
    </xf>
    <xf numFmtId="10" fontId="20" fillId="2" borderId="26" xfId="0" applyNumberFormat="1" applyFont="1" applyFill="1" applyBorder="1" applyAlignment="1">
      <alignment horizontal="center" vertical="center" wrapText="1"/>
    </xf>
    <xf numFmtId="10" fontId="26" fillId="2" borderId="26" xfId="0" applyNumberFormat="1" applyFont="1" applyFill="1" applyBorder="1" applyAlignment="1">
      <alignment wrapText="1"/>
    </xf>
    <xf numFmtId="0" fontId="6" fillId="2" borderId="26" xfId="0" applyFont="1" applyFill="1" applyBorder="1"/>
    <xf numFmtId="0" fontId="27" fillId="0" borderId="0" xfId="0" applyFont="1"/>
    <xf numFmtId="10" fontId="26" fillId="0" borderId="26" xfId="0" applyNumberFormat="1" applyFont="1" applyBorder="1" applyAlignment="1">
      <alignment wrapText="1"/>
    </xf>
    <xf numFmtId="0" fontId="28" fillId="9" borderId="26" xfId="0" applyFont="1" applyFill="1" applyBorder="1" applyAlignment="1">
      <alignment horizontal="center" vertical="center" wrapText="1"/>
    </xf>
    <xf numFmtId="10" fontId="29" fillId="9" borderId="26" xfId="0" applyNumberFormat="1" applyFont="1" applyFill="1" applyBorder="1" applyAlignment="1">
      <alignment horizontal="center" vertical="center" wrapText="1"/>
    </xf>
    <xf numFmtId="3" fontId="29" fillId="9" borderId="26" xfId="0" applyNumberFormat="1" applyFont="1" applyFill="1" applyBorder="1" applyAlignment="1">
      <alignment horizontal="center" vertical="center" wrapText="1"/>
    </xf>
    <xf numFmtId="2" fontId="29" fillId="9" borderId="26" xfId="0" applyNumberFormat="1" applyFont="1" applyFill="1" applyBorder="1" applyAlignment="1">
      <alignment horizontal="center" vertical="center" wrapText="1"/>
    </xf>
    <xf numFmtId="2" fontId="28" fillId="9" borderId="26" xfId="0" applyNumberFormat="1" applyFont="1" applyFill="1" applyBorder="1" applyAlignment="1">
      <alignment horizontal="center" vertical="center" wrapText="1"/>
    </xf>
    <xf numFmtId="0" fontId="30" fillId="9" borderId="26" xfId="0" applyFont="1" applyFill="1" applyBorder="1" applyAlignment="1">
      <alignment horizontal="center" vertical="center" wrapText="1"/>
    </xf>
    <xf numFmtId="0" fontId="29" fillId="9" borderId="26" xfId="0" applyFont="1" applyFill="1" applyBorder="1" applyAlignment="1">
      <alignment horizontal="justify" vertical="center" wrapText="1"/>
    </xf>
    <xf numFmtId="0" fontId="13" fillId="9" borderId="26" xfId="0" applyFont="1" applyFill="1" applyBorder="1" applyAlignment="1">
      <alignment horizontal="justify" vertical="center" wrapText="1"/>
    </xf>
    <xf numFmtId="0" fontId="0" fillId="0" borderId="26" xfId="0" applyBorder="1"/>
    <xf numFmtId="10" fontId="26" fillId="0" borderId="26" xfId="0" applyNumberFormat="1" applyFont="1" applyBorder="1"/>
    <xf numFmtId="10" fontId="20" fillId="0" borderId="26" xfId="0" applyNumberFormat="1" applyFont="1" applyBorder="1" applyAlignment="1">
      <alignment horizontal="center" vertical="center" wrapText="1"/>
    </xf>
    <xf numFmtId="0" fontId="13" fillId="0" borderId="26" xfId="0" applyFont="1" applyBorder="1" applyAlignment="1">
      <alignment horizontal="center" vertical="center" wrapText="1"/>
    </xf>
    <xf numFmtId="0" fontId="31" fillId="0" borderId="0" xfId="0" applyFont="1" applyAlignment="1">
      <alignment horizontal="center" vertical="center" wrapText="1"/>
    </xf>
    <xf numFmtId="10" fontId="14" fillId="0" borderId="0" xfId="0" applyNumberFormat="1" applyFont="1" applyBorder="1" applyAlignment="1">
      <alignment vertical="center" wrapText="1"/>
    </xf>
    <xf numFmtId="0" fontId="32" fillId="0" borderId="37" xfId="0" applyFont="1" applyBorder="1" applyAlignment="1">
      <alignment horizontal="justify" vertical="center" wrapText="1"/>
    </xf>
    <xf numFmtId="0" fontId="17" fillId="11" borderId="42" xfId="0" applyFont="1" applyFill="1" applyBorder="1" applyAlignment="1">
      <alignment horizontal="center" vertical="center" wrapText="1"/>
    </xf>
    <xf numFmtId="0" fontId="33" fillId="11" borderId="42" xfId="0" applyFont="1" applyFill="1"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45" xfId="0" applyBorder="1" applyAlignment="1">
      <alignment horizontal="center" vertical="center" wrapText="1"/>
    </xf>
    <xf numFmtId="0" fontId="0" fillId="2" borderId="1" xfId="0" applyFill="1" applyBorder="1" applyAlignment="1">
      <alignment horizontal="left" vertical="center" wrapText="1"/>
    </xf>
    <xf numFmtId="0" fontId="0" fillId="0" borderId="1" xfId="0"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3" fontId="0" fillId="0" borderId="1" xfId="0" applyNumberFormat="1" applyFont="1" applyFill="1" applyBorder="1" applyAlignment="1">
      <alignment horizontal="center" vertical="center" wrapText="1"/>
    </xf>
    <xf numFmtId="0" fontId="0" fillId="12"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3" fontId="3" fillId="12" borderId="1" xfId="0" applyNumberFormat="1" applyFont="1" applyFill="1" applyBorder="1" applyAlignment="1">
      <alignment horizontal="center" vertical="center" wrapText="1"/>
    </xf>
    <xf numFmtId="3" fontId="3" fillId="0" borderId="0" xfId="0" applyNumberFormat="1" applyFont="1" applyAlignment="1">
      <alignment horizontal="center"/>
    </xf>
    <xf numFmtId="0" fontId="3" fillId="0" borderId="0" xfId="0" applyFont="1" applyAlignment="1">
      <alignment horizontal="center"/>
    </xf>
    <xf numFmtId="0" fontId="3" fillId="0" borderId="0" xfId="0" applyFont="1" applyFill="1" applyBorder="1" applyAlignment="1">
      <alignment horizontal="center" vertical="center" wrapText="1"/>
    </xf>
    <xf numFmtId="0" fontId="3" fillId="0" borderId="44" xfId="0" applyFont="1" applyFill="1" applyBorder="1" applyAlignment="1">
      <alignment horizontal="right" vertical="center" wrapText="1"/>
    </xf>
    <xf numFmtId="3" fontId="3" fillId="0" borderId="44" xfId="0" applyNumberFormat="1" applyFont="1" applyBorder="1" applyAlignment="1">
      <alignment horizontal="right"/>
    </xf>
    <xf numFmtId="0" fontId="0" fillId="0" borderId="44" xfId="0" applyFill="1" applyBorder="1" applyAlignment="1">
      <alignment horizontal="left" vertical="center" wrapText="1"/>
    </xf>
    <xf numFmtId="0" fontId="0" fillId="0" borderId="44" xfId="0" applyBorder="1"/>
    <xf numFmtId="3" fontId="0" fillId="0" borderId="0" xfId="0" applyNumberFormat="1"/>
    <xf numFmtId="3" fontId="0" fillId="0" borderId="44" xfId="0" applyNumberFormat="1" applyBorder="1"/>
    <xf numFmtId="0" fontId="38" fillId="0" borderId="0" xfId="0" applyFont="1"/>
    <xf numFmtId="0" fontId="38" fillId="0" borderId="1" xfId="0" applyFont="1" applyBorder="1"/>
    <xf numFmtId="0" fontId="39" fillId="0" borderId="11" xfId="35" applyFont="1" applyFill="1" applyBorder="1" applyAlignment="1">
      <alignment horizontal="center" vertical="center" wrapText="1"/>
    </xf>
    <xf numFmtId="0" fontId="39" fillId="0" borderId="51" xfId="0" applyFont="1" applyBorder="1" applyAlignment="1">
      <alignment horizontal="center" vertical="center"/>
    </xf>
    <xf numFmtId="0" fontId="39" fillId="0" borderId="52" xfId="0" applyFont="1" applyBorder="1" applyAlignment="1">
      <alignment horizontal="center" vertical="center"/>
    </xf>
    <xf numFmtId="0" fontId="40" fillId="2" borderId="52" xfId="0" applyFont="1" applyFill="1" applyBorder="1" applyAlignment="1">
      <alignment horizontal="center" vertical="center"/>
    </xf>
    <xf numFmtId="0" fontId="39" fillId="2" borderId="52" xfId="0" applyFont="1" applyFill="1" applyBorder="1" applyAlignment="1">
      <alignment horizontal="center" vertical="center"/>
    </xf>
    <xf numFmtId="0" fontId="39" fillId="3" borderId="52" xfId="0" applyFont="1" applyFill="1" applyBorder="1" applyAlignment="1">
      <alignment horizontal="center" vertical="center"/>
    </xf>
    <xf numFmtId="0" fontId="39" fillId="0" borderId="52" xfId="0" applyFont="1" applyFill="1" applyBorder="1" applyAlignment="1">
      <alignment horizontal="center" vertical="center"/>
    </xf>
    <xf numFmtId="0" fontId="39" fillId="0" borderId="52" xfId="0" applyFont="1" applyFill="1" applyBorder="1" applyAlignment="1">
      <alignment horizontal="center"/>
    </xf>
    <xf numFmtId="0" fontId="39" fillId="3" borderId="53" xfId="0" applyFont="1" applyFill="1" applyBorder="1" applyAlignment="1">
      <alignment horizontal="center" vertical="center"/>
    </xf>
    <xf numFmtId="0" fontId="39" fillId="0" borderId="1" xfId="0" applyFont="1" applyBorder="1" applyAlignment="1">
      <alignment wrapText="1"/>
    </xf>
    <xf numFmtId="3" fontId="38" fillId="0" borderId="1" xfId="0" applyNumberFormat="1" applyFont="1" applyBorder="1" applyAlignment="1">
      <alignment horizontal="center" vertical="center" wrapText="1"/>
    </xf>
    <xf numFmtId="3" fontId="39" fillId="0" borderId="1" xfId="0" applyNumberFormat="1" applyFont="1" applyBorder="1" applyAlignment="1">
      <alignment horizontal="center" vertical="center" wrapText="1"/>
    </xf>
    <xf numFmtId="4" fontId="40" fillId="0" borderId="1" xfId="0" applyNumberFormat="1" applyFont="1" applyFill="1" applyBorder="1" applyAlignment="1">
      <alignment horizontal="center" vertical="center" wrapText="1"/>
    </xf>
    <xf numFmtId="4" fontId="39" fillId="0" borderId="1" xfId="0" applyNumberFormat="1" applyFont="1" applyBorder="1" applyAlignment="1">
      <alignment horizontal="center" vertical="center" wrapText="1"/>
    </xf>
    <xf numFmtId="0" fontId="38" fillId="2" borderId="1" xfId="0" applyFont="1" applyFill="1" applyBorder="1"/>
    <xf numFmtId="4" fontId="40" fillId="2" borderId="1" xfId="0" applyNumberFormat="1" applyFont="1" applyFill="1" applyBorder="1" applyAlignment="1">
      <alignment horizontal="center" vertical="center" wrapText="1"/>
    </xf>
    <xf numFmtId="0" fontId="38" fillId="3" borderId="1" xfId="0" applyFont="1" applyFill="1" applyBorder="1"/>
    <xf numFmtId="0" fontId="38" fillId="3" borderId="9" xfId="0" applyFont="1" applyFill="1" applyBorder="1"/>
    <xf numFmtId="0" fontId="39" fillId="0" borderId="1" xfId="0" applyFont="1" applyBorder="1" applyAlignment="1">
      <alignment horizontal="left" vertical="center" wrapText="1"/>
    </xf>
    <xf numFmtId="0" fontId="47" fillId="0" borderId="1" xfId="0" applyFont="1" applyBorder="1" applyAlignment="1">
      <alignment horizontal="center" vertical="center" wrapText="1"/>
    </xf>
    <xf numFmtId="4" fontId="48" fillId="0" borderId="1" xfId="0" applyNumberFormat="1" applyFont="1" applyBorder="1" applyAlignment="1">
      <alignment horizontal="center" vertical="center" wrapText="1"/>
    </xf>
    <xf numFmtId="0" fontId="38" fillId="0" borderId="2" xfId="0" applyFont="1" applyBorder="1"/>
    <xf numFmtId="0" fontId="38" fillId="2" borderId="2" xfId="0" applyFont="1" applyFill="1" applyBorder="1"/>
    <xf numFmtId="3" fontId="39" fillId="0" borderId="2" xfId="0" applyNumberFormat="1" applyFont="1" applyBorder="1" applyAlignment="1">
      <alignment horizontal="center" vertical="center" wrapText="1"/>
    </xf>
    <xf numFmtId="4" fontId="40" fillId="0" borderId="2" xfId="0" applyNumberFormat="1" applyFont="1" applyFill="1" applyBorder="1" applyAlignment="1">
      <alignment horizontal="center" vertical="center" wrapText="1"/>
    </xf>
    <xf numFmtId="0" fontId="38" fillId="3" borderId="11" xfId="0" applyFont="1" applyFill="1" applyBorder="1"/>
    <xf numFmtId="0" fontId="38" fillId="0" borderId="11" xfId="0" applyFont="1" applyBorder="1"/>
    <xf numFmtId="0" fontId="38" fillId="3" borderId="50" xfId="0" applyFont="1" applyFill="1" applyBorder="1"/>
    <xf numFmtId="0" fontId="49" fillId="0" borderId="1" xfId="0" applyFont="1" applyBorder="1" applyAlignment="1">
      <alignment horizontal="center" wrapText="1"/>
    </xf>
    <xf numFmtId="4" fontId="39" fillId="2" borderId="1" xfId="0" applyNumberFormat="1" applyFont="1" applyFill="1" applyBorder="1" applyAlignment="1">
      <alignment horizontal="center" vertical="center" wrapText="1"/>
    </xf>
    <xf numFmtId="0" fontId="38" fillId="0" borderId="1" xfId="0" applyFont="1" applyFill="1" applyBorder="1"/>
    <xf numFmtId="0" fontId="39" fillId="0" borderId="3" xfId="0" applyFont="1" applyBorder="1" applyAlignment="1">
      <alignment wrapText="1"/>
    </xf>
    <xf numFmtId="0" fontId="38" fillId="0" borderId="3" xfId="0" applyFont="1" applyBorder="1"/>
    <xf numFmtId="4" fontId="39" fillId="2" borderId="3" xfId="0" applyNumberFormat="1" applyFont="1" applyFill="1" applyBorder="1"/>
    <xf numFmtId="4" fontId="39" fillId="0" borderId="3" xfId="0" applyNumberFormat="1" applyFont="1" applyBorder="1"/>
    <xf numFmtId="9" fontId="39" fillId="0" borderId="3" xfId="0" applyNumberFormat="1" applyFont="1" applyBorder="1" applyAlignment="1">
      <alignment horizontal="center"/>
    </xf>
    <xf numFmtId="0" fontId="38" fillId="0" borderId="3" xfId="0" applyFont="1" applyBorder="1" applyAlignment="1">
      <alignment horizontal="center"/>
    </xf>
    <xf numFmtId="0" fontId="40" fillId="2" borderId="3" xfId="0" applyFont="1" applyFill="1" applyBorder="1" applyAlignment="1">
      <alignment horizontal="center"/>
    </xf>
    <xf numFmtId="0" fontId="38" fillId="2" borderId="3" xfId="0" applyFont="1" applyFill="1" applyBorder="1"/>
    <xf numFmtId="0" fontId="38" fillId="3" borderId="3" xfId="0" applyFont="1" applyFill="1" applyBorder="1"/>
    <xf numFmtId="0" fontId="38" fillId="0" borderId="3" xfId="0" applyFont="1" applyFill="1" applyBorder="1"/>
    <xf numFmtId="0" fontId="38" fillId="3" borderId="7" xfId="0" applyFont="1" applyFill="1" applyBorder="1"/>
    <xf numFmtId="0" fontId="41" fillId="0" borderId="1" xfId="0" applyFont="1" applyBorder="1" applyAlignment="1">
      <alignment wrapText="1"/>
    </xf>
    <xf numFmtId="3" fontId="39" fillId="0" borderId="19" xfId="0" applyNumberFormat="1" applyFont="1" applyFill="1" applyBorder="1" applyAlignment="1">
      <alignment horizontal="center" vertical="center" wrapText="1"/>
    </xf>
    <xf numFmtId="3" fontId="39" fillId="2" borderId="1" xfId="0" applyNumberFormat="1" applyFont="1" applyFill="1" applyBorder="1" applyAlignment="1">
      <alignment horizontal="center" vertical="center" wrapText="1"/>
    </xf>
    <xf numFmtId="0" fontId="38" fillId="0" borderId="1" xfId="0" applyFont="1" applyBorder="1" applyAlignment="1">
      <alignment horizontal="left" vertical="center" wrapText="1"/>
    </xf>
    <xf numFmtId="0" fontId="41" fillId="0" borderId="1" xfId="0" applyFont="1" applyBorder="1" applyAlignment="1">
      <alignment horizontal="left" wrapText="1"/>
    </xf>
    <xf numFmtId="4" fontId="39" fillId="0" borderId="2" xfId="0" applyNumberFormat="1" applyFont="1" applyBorder="1" applyAlignment="1">
      <alignment horizontal="center" vertical="center" wrapText="1"/>
    </xf>
    <xf numFmtId="0" fontId="38" fillId="3" borderId="2" xfId="0" applyFont="1" applyFill="1" applyBorder="1"/>
    <xf numFmtId="0" fontId="38" fillId="3" borderId="22" xfId="0" applyFont="1" applyFill="1" applyBorder="1"/>
    <xf numFmtId="3" fontId="39" fillId="0" borderId="11" xfId="0" applyNumberFormat="1" applyFont="1" applyBorder="1" applyAlignment="1">
      <alignment horizontal="center" vertical="center" wrapText="1"/>
    </xf>
    <xf numFmtId="0" fontId="38" fillId="0" borderId="52" xfId="0" applyFont="1" applyBorder="1"/>
    <xf numFmtId="0" fontId="38" fillId="2" borderId="52" xfId="0" applyFont="1" applyFill="1" applyBorder="1"/>
    <xf numFmtId="0" fontId="38" fillId="3" borderId="55" xfId="0" applyFont="1" applyFill="1" applyBorder="1"/>
    <xf numFmtId="0" fontId="38" fillId="3" borderId="52" xfId="0" applyFont="1" applyFill="1" applyBorder="1"/>
    <xf numFmtId="0" fontId="38" fillId="0" borderId="52" xfId="0" applyFont="1" applyFill="1" applyBorder="1"/>
    <xf numFmtId="0" fontId="38" fillId="3" borderId="53" xfId="0" applyFont="1" applyFill="1" applyBorder="1"/>
    <xf numFmtId="3" fontId="38" fillId="0" borderId="55" xfId="0" applyNumberFormat="1" applyFont="1" applyBorder="1"/>
    <xf numFmtId="0" fontId="38" fillId="0" borderId="49" xfId="0" applyFont="1" applyBorder="1"/>
    <xf numFmtId="0" fontId="38" fillId="2" borderId="49" xfId="0" applyFont="1" applyFill="1" applyBorder="1"/>
    <xf numFmtId="0" fontId="38" fillId="3" borderId="57" xfId="0" applyFont="1" applyFill="1" applyBorder="1"/>
    <xf numFmtId="0" fontId="38" fillId="3" borderId="49" xfId="0" applyFont="1" applyFill="1" applyBorder="1"/>
    <xf numFmtId="0" fontId="38" fillId="0" borderId="49" xfId="0" applyFont="1" applyFill="1" applyBorder="1"/>
    <xf numFmtId="0" fontId="38" fillId="3" borderId="58" xfId="0" applyFont="1" applyFill="1" applyBorder="1"/>
    <xf numFmtId="0" fontId="0" fillId="3" borderId="0" xfId="0" applyFill="1"/>
    <xf numFmtId="0" fontId="87" fillId="0" borderId="0" xfId="0" applyFont="1"/>
    <xf numFmtId="0" fontId="89" fillId="0" borderId="0" xfId="0" applyFont="1"/>
    <xf numFmtId="0" fontId="87" fillId="14" borderId="0" xfId="0" applyFont="1" applyFill="1"/>
    <xf numFmtId="0" fontId="87" fillId="2" borderId="0" xfId="0" applyFont="1" applyFill="1"/>
    <xf numFmtId="0" fontId="91" fillId="2" borderId="0" xfId="0" applyFont="1" applyFill="1"/>
    <xf numFmtId="0" fontId="89" fillId="14" borderId="0" xfId="0" applyFont="1" applyFill="1"/>
    <xf numFmtId="0" fontId="87" fillId="13" borderId="0" xfId="0" applyFont="1" applyFill="1"/>
    <xf numFmtId="3" fontId="92" fillId="0" borderId="0" xfId="0" applyNumberFormat="1" applyFont="1"/>
    <xf numFmtId="0" fontId="92" fillId="0" borderId="0" xfId="0" applyFont="1"/>
    <xf numFmtId="3" fontId="8" fillId="0" borderId="0" xfId="0" applyNumberFormat="1" applyFont="1" applyAlignment="1">
      <alignment horizontal="center"/>
    </xf>
    <xf numFmtId="4" fontId="87" fillId="0" borderId="0" xfId="0" applyNumberFormat="1" applyFont="1"/>
    <xf numFmtId="164" fontId="87" fillId="0" borderId="0" xfId="225" applyFont="1"/>
    <xf numFmtId="4" fontId="88" fillId="0" borderId="0" xfId="0" applyNumberFormat="1" applyFont="1" applyAlignment="1">
      <alignment horizontal="center" vertical="center"/>
    </xf>
    <xf numFmtId="164" fontId="87" fillId="0" borderId="0" xfId="0" applyNumberFormat="1" applyFont="1"/>
    <xf numFmtId="164" fontId="89" fillId="0" borderId="0" xfId="225" applyFont="1"/>
    <xf numFmtId="0" fontId="88" fillId="2" borderId="0" xfId="0" applyFont="1" applyFill="1" applyAlignment="1">
      <alignment wrapText="1"/>
    </xf>
    <xf numFmtId="0" fontId="87" fillId="0" borderId="0" xfId="0" applyFont="1" applyBorder="1"/>
    <xf numFmtId="0" fontId="87" fillId="0" borderId="74" xfId="0" applyFont="1" applyBorder="1"/>
    <xf numFmtId="4" fontId="89" fillId="0" borderId="0" xfId="0" applyNumberFormat="1" applyFont="1"/>
    <xf numFmtId="164" fontId="89" fillId="0" borderId="0" xfId="0" applyNumberFormat="1" applyFont="1"/>
    <xf numFmtId="0" fontId="89" fillId="0" borderId="0" xfId="0" applyFont="1" applyBorder="1"/>
    <xf numFmtId="0" fontId="89" fillId="0" borderId="74" xfId="0" applyFont="1" applyBorder="1"/>
    <xf numFmtId="164" fontId="38" fillId="0" borderId="0" xfId="225" applyFont="1" applyAlignment="1">
      <alignment vertical="center"/>
    </xf>
    <xf numFmtId="0" fontId="89" fillId="0" borderId="0" xfId="0" applyFont="1" applyFill="1"/>
    <xf numFmtId="3" fontId="89" fillId="0" borderId="0" xfId="0" applyNumberFormat="1" applyFont="1" applyFill="1" applyAlignment="1">
      <alignment horizontal="center"/>
    </xf>
    <xf numFmtId="0" fontId="89" fillId="0" borderId="0" xfId="0" applyFont="1" applyFill="1" applyAlignment="1">
      <alignment horizontal="center"/>
    </xf>
    <xf numFmtId="4" fontId="89" fillId="0" borderId="0" xfId="0" applyNumberFormat="1" applyFont="1" applyFill="1"/>
    <xf numFmtId="4" fontId="89" fillId="0" borderId="0" xfId="0" applyNumberFormat="1" applyFont="1" applyFill="1" applyAlignment="1">
      <alignment horizontal="center"/>
    </xf>
    <xf numFmtId="49" fontId="89" fillId="0" borderId="0" xfId="0" applyNumberFormat="1" applyFont="1" applyFill="1" applyBorder="1" applyAlignment="1">
      <alignment horizontal="center" vertical="center"/>
    </xf>
    <xf numFmtId="49" fontId="89" fillId="0" borderId="74" xfId="0" applyNumberFormat="1" applyFont="1" applyFill="1" applyBorder="1" applyAlignment="1">
      <alignment horizontal="center" vertical="center"/>
    </xf>
    <xf numFmtId="49" fontId="89" fillId="0" borderId="0" xfId="0" applyNumberFormat="1" applyFont="1" applyFill="1" applyAlignment="1">
      <alignment horizontal="center" vertical="center"/>
    </xf>
    <xf numFmtId="0" fontId="89" fillId="0" borderId="0" xfId="0" applyFont="1" applyFill="1" applyAlignment="1">
      <alignment horizontal="center" vertical="center"/>
    </xf>
    <xf numFmtId="0" fontId="97" fillId="0" borderId="0" xfId="0" applyFont="1" applyFill="1" applyAlignment="1">
      <alignment horizontal="center" vertical="center"/>
    </xf>
    <xf numFmtId="4" fontId="90" fillId="0" borderId="0" xfId="0" applyNumberFormat="1" applyFont="1" applyFill="1" applyAlignment="1">
      <alignment horizontal="center" vertical="center"/>
    </xf>
    <xf numFmtId="4" fontId="89" fillId="0" borderId="0" xfId="0" applyNumberFormat="1" applyFont="1" applyFill="1" applyAlignment="1">
      <alignment horizontal="center" vertical="center"/>
    </xf>
    <xf numFmtId="0" fontId="89" fillId="0" borderId="0" xfId="0" applyFont="1" applyFill="1" applyBorder="1" applyAlignment="1">
      <alignment horizontal="center" vertical="center"/>
    </xf>
    <xf numFmtId="0" fontId="89" fillId="0" borderId="74" xfId="0" applyFont="1" applyFill="1" applyBorder="1" applyAlignment="1">
      <alignment horizontal="center" vertical="center"/>
    </xf>
    <xf numFmtId="4" fontId="90" fillId="0" borderId="0" xfId="0" applyNumberFormat="1" applyFont="1" applyAlignment="1">
      <alignment horizontal="center" vertical="center"/>
    </xf>
    <xf numFmtId="164" fontId="89" fillId="0" borderId="0" xfId="225" applyFont="1" applyBorder="1"/>
    <xf numFmtId="0" fontId="97" fillId="0" borderId="0" xfId="0" applyFont="1" applyAlignment="1">
      <alignment horizontal="center"/>
    </xf>
    <xf numFmtId="0" fontId="97" fillId="0" borderId="0" xfId="0" applyFont="1" applyAlignment="1"/>
    <xf numFmtId="0" fontId="97" fillId="0" borderId="0" xfId="0" applyFont="1" applyFill="1" applyAlignment="1">
      <alignment horizontal="right" vertical="center"/>
    </xf>
    <xf numFmtId="4" fontId="90" fillId="0" borderId="0" xfId="0" applyNumberFormat="1" applyFont="1" applyFill="1" applyAlignment="1">
      <alignment horizontal="right" vertical="center"/>
    </xf>
    <xf numFmtId="0" fontId="89" fillId="0" borderId="0" xfId="0" applyFont="1" applyFill="1" applyAlignment="1">
      <alignment horizontal="right" vertical="center"/>
    </xf>
    <xf numFmtId="164" fontId="90" fillId="0" borderId="0" xfId="0" applyNumberFormat="1" applyFont="1" applyFill="1" applyAlignment="1">
      <alignment horizontal="right" vertical="center"/>
    </xf>
    <xf numFmtId="4" fontId="89" fillId="0" borderId="0" xfId="0" applyNumberFormat="1" applyFont="1" applyFill="1" applyAlignment="1">
      <alignment horizontal="right" vertical="center"/>
    </xf>
    <xf numFmtId="3" fontId="89" fillId="0" borderId="0" xfId="0" applyNumberFormat="1" applyFont="1" applyFill="1" applyAlignment="1">
      <alignment horizontal="right" vertical="center"/>
    </xf>
    <xf numFmtId="49" fontId="89" fillId="0" borderId="0" xfId="0" applyNumberFormat="1" applyFont="1" applyFill="1" applyBorder="1" applyAlignment="1">
      <alignment horizontal="center" vertical="center" wrapText="1"/>
    </xf>
    <xf numFmtId="0" fontId="89" fillId="2" borderId="0" xfId="0" applyFont="1" applyFill="1" applyBorder="1" applyAlignment="1">
      <alignment horizontal="center" vertical="center" wrapText="1"/>
    </xf>
    <xf numFmtId="4" fontId="89" fillId="0" borderId="0" xfId="0" applyNumberFormat="1" applyFont="1" applyFill="1" applyBorder="1" applyAlignment="1">
      <alignment horizontal="right" vertical="center" wrapText="1"/>
    </xf>
    <xf numFmtId="4" fontId="89" fillId="0" borderId="0" xfId="0" applyNumberFormat="1" applyFont="1" applyFill="1" applyBorder="1" applyAlignment="1">
      <alignment horizontal="center" vertical="center" wrapText="1"/>
    </xf>
    <xf numFmtId="14" fontId="89" fillId="0" borderId="0" xfId="0" applyNumberFormat="1" applyFont="1" applyFill="1" applyBorder="1" applyAlignment="1">
      <alignment horizontal="center" vertical="center"/>
    </xf>
    <xf numFmtId="167" fontId="97" fillId="0" borderId="0" xfId="225" applyNumberFormat="1" applyFont="1" applyAlignment="1"/>
    <xf numFmtId="43" fontId="97" fillId="0" borderId="0" xfId="0" applyNumberFormat="1" applyFont="1" applyAlignment="1"/>
    <xf numFmtId="43" fontId="97" fillId="0" borderId="0" xfId="0" applyNumberFormat="1" applyFont="1" applyAlignment="1">
      <alignment horizontal="center"/>
    </xf>
    <xf numFmtId="49" fontId="93" fillId="3" borderId="69" xfId="0" applyNumberFormat="1" applyFont="1" applyFill="1" applyBorder="1" applyAlignment="1">
      <alignment horizontal="center" vertical="center" wrapText="1"/>
    </xf>
    <xf numFmtId="168" fontId="87" fillId="0" borderId="0" xfId="0" applyNumberFormat="1" applyFont="1"/>
    <xf numFmtId="49" fontId="98" fillId="3" borderId="69" xfId="0" applyNumberFormat="1" applyFont="1" applyFill="1" applyBorder="1" applyAlignment="1">
      <alignment horizontal="center" vertical="center" wrapText="1"/>
    </xf>
    <xf numFmtId="3" fontId="38" fillId="0" borderId="0" xfId="0" applyNumberFormat="1" applyFont="1" applyAlignment="1">
      <alignment vertical="center"/>
    </xf>
    <xf numFmtId="14" fontId="98" fillId="3" borderId="69" xfId="0" applyNumberFormat="1" applyFont="1" applyFill="1" applyBorder="1" applyAlignment="1">
      <alignment horizontal="center" vertical="center" wrapText="1"/>
    </xf>
    <xf numFmtId="3" fontId="89" fillId="0" borderId="0" xfId="0" applyNumberFormat="1" applyFont="1"/>
    <xf numFmtId="4" fontId="93" fillId="2" borderId="69" xfId="0" applyNumberFormat="1" applyFont="1" applyFill="1" applyBorder="1" applyAlignment="1">
      <alignment horizontal="right" vertical="center"/>
    </xf>
    <xf numFmtId="0" fontId="99" fillId="0" borderId="72" xfId="0" applyFont="1" applyBorder="1" applyAlignment="1">
      <alignment horizontal="center" vertical="center" wrapText="1"/>
    </xf>
    <xf numFmtId="0" fontId="99" fillId="0" borderId="69" xfId="0" applyFont="1" applyBorder="1" applyAlignment="1">
      <alignment horizontal="left" vertical="center" wrapText="1"/>
    </xf>
    <xf numFmtId="4" fontId="93" fillId="2" borderId="72" xfId="0" applyNumberFormat="1" applyFont="1" applyFill="1" applyBorder="1" applyAlignment="1">
      <alignment horizontal="center" vertical="center"/>
    </xf>
    <xf numFmtId="164" fontId="43" fillId="0" borderId="0" xfId="225" applyFont="1" applyAlignment="1">
      <alignment vertical="center"/>
    </xf>
    <xf numFmtId="169" fontId="38" fillId="0" borderId="0" xfId="0" applyNumberFormat="1" applyFont="1" applyAlignment="1">
      <alignment vertical="center"/>
    </xf>
    <xf numFmtId="3" fontId="99" fillId="2" borderId="69" xfId="0" applyNumberFormat="1" applyFont="1" applyFill="1" applyBorder="1" applyAlignment="1">
      <alignment horizontal="center" vertical="center" wrapText="1"/>
    </xf>
    <xf numFmtId="3" fontId="101" fillId="2" borderId="69" xfId="0" applyNumberFormat="1" applyFont="1" applyFill="1" applyBorder="1" applyAlignment="1">
      <alignment horizontal="center" vertical="center" wrapText="1"/>
    </xf>
    <xf numFmtId="14" fontId="98" fillId="3" borderId="69" xfId="0" applyNumberFormat="1" applyFont="1" applyFill="1" applyBorder="1" applyAlignment="1">
      <alignment horizontal="center" vertical="center"/>
    </xf>
    <xf numFmtId="14" fontId="98" fillId="3" borderId="3" xfId="0" applyNumberFormat="1" applyFont="1" applyFill="1" applyBorder="1" applyAlignment="1">
      <alignment horizontal="center" vertical="center" wrapText="1"/>
    </xf>
    <xf numFmtId="0" fontId="99" fillId="0" borderId="0" xfId="0" applyFont="1" applyAlignment="1"/>
    <xf numFmtId="0" fontId="100" fillId="0" borderId="0" xfId="0" applyFont="1"/>
    <xf numFmtId="0" fontId="99" fillId="0" borderId="0" xfId="0" applyFont="1" applyAlignment="1">
      <alignment horizontal="center"/>
    </xf>
    <xf numFmtId="0" fontId="99" fillId="0" borderId="0" xfId="0" applyFont="1" applyAlignment="1">
      <alignment horizontal="right" vertical="center"/>
    </xf>
    <xf numFmtId="164" fontId="100" fillId="0" borderId="0" xfId="225" applyFont="1" applyAlignment="1">
      <alignment vertical="center"/>
    </xf>
    <xf numFmtId="3" fontId="100" fillId="0" borderId="0" xfId="0" applyNumberFormat="1" applyFont="1" applyAlignment="1">
      <alignment vertical="center"/>
    </xf>
    <xf numFmtId="0" fontId="101" fillId="0" borderId="0" xfId="0" applyFont="1" applyAlignment="1">
      <alignment horizontal="left"/>
    </xf>
    <xf numFmtId="4" fontId="99" fillId="0" borderId="0" xfId="0" applyNumberFormat="1" applyFont="1" applyAlignment="1">
      <alignment horizontal="center" vertical="center"/>
    </xf>
    <xf numFmtId="4" fontId="101" fillId="0" borderId="0" xfId="0" applyNumberFormat="1" applyFont="1" applyAlignment="1">
      <alignment horizontal="center" vertical="center"/>
    </xf>
    <xf numFmtId="4" fontId="99" fillId="0" borderId="0" xfId="0" applyNumberFormat="1" applyFont="1" applyFill="1" applyAlignment="1">
      <alignment horizontal="center" vertical="center"/>
    </xf>
    <xf numFmtId="4" fontId="99" fillId="0" borderId="0" xfId="0" applyNumberFormat="1" applyFont="1" applyFill="1" applyAlignment="1">
      <alignment horizontal="right" vertical="center"/>
    </xf>
    <xf numFmtId="0" fontId="99" fillId="0" borderId="78" xfId="0" applyFont="1" applyFill="1" applyBorder="1" applyAlignment="1">
      <alignment horizontal="center" vertical="center" wrapText="1"/>
    </xf>
    <xf numFmtId="0" fontId="99" fillId="0" borderId="69" xfId="0" applyFont="1" applyBorder="1" applyAlignment="1">
      <alignment horizontal="center" vertical="center"/>
    </xf>
    <xf numFmtId="0" fontId="99" fillId="0" borderId="69" xfId="0" applyFont="1" applyBorder="1" applyAlignment="1">
      <alignment horizontal="center" vertical="center" wrapText="1"/>
    </xf>
    <xf numFmtId="0" fontId="99" fillId="0" borderId="3" xfId="0" applyFont="1" applyFill="1" applyBorder="1" applyAlignment="1">
      <alignment horizontal="center" vertical="center" wrapText="1"/>
    </xf>
    <xf numFmtId="0" fontId="99" fillId="0" borderId="69" xfId="0" applyFont="1" applyFill="1" applyBorder="1" applyAlignment="1">
      <alignment horizontal="center" vertical="center"/>
    </xf>
    <xf numFmtId="164" fontId="99" fillId="2" borderId="69" xfId="225" applyFont="1" applyFill="1" applyBorder="1" applyAlignment="1">
      <alignment horizontal="center" vertical="center" wrapText="1"/>
    </xf>
    <xf numFmtId="0" fontId="93" fillId="14" borderId="69" xfId="0" applyFont="1" applyFill="1" applyBorder="1" applyAlignment="1">
      <alignment horizontal="center" vertical="center"/>
    </xf>
    <xf numFmtId="3" fontId="99" fillId="39" borderId="69" xfId="0" applyNumberFormat="1" applyFont="1" applyFill="1" applyBorder="1" applyAlignment="1">
      <alignment horizontal="right" wrapText="1"/>
    </xf>
    <xf numFmtId="0" fontId="93" fillId="39" borderId="69" xfId="0" applyFont="1" applyFill="1" applyBorder="1" applyAlignment="1">
      <alignment wrapText="1"/>
    </xf>
    <xf numFmtId="0" fontId="93" fillId="39" borderId="69" xfId="0" applyFont="1" applyFill="1" applyBorder="1" applyAlignment="1">
      <alignment horizontal="center" wrapText="1"/>
    </xf>
    <xf numFmtId="164" fontId="93" fillId="14" borderId="69" xfId="225" applyFont="1" applyFill="1" applyBorder="1" applyAlignment="1">
      <alignment horizontal="center" vertical="center"/>
    </xf>
    <xf numFmtId="3" fontId="93" fillId="2" borderId="69" xfId="0" applyNumberFormat="1" applyFont="1" applyFill="1" applyBorder="1" applyAlignment="1">
      <alignment horizontal="right" vertical="center" wrapText="1"/>
    </xf>
    <xf numFmtId="4" fontId="103" fillId="0" borderId="72" xfId="230" applyNumberFormat="1" applyFont="1" applyFill="1" applyBorder="1" applyAlignment="1">
      <alignment horizontal="center" vertical="center" wrapText="1"/>
    </xf>
    <xf numFmtId="3" fontId="96" fillId="2" borderId="69" xfId="0" applyNumberFormat="1" applyFont="1" applyFill="1" applyBorder="1" applyAlignment="1">
      <alignment horizontal="right" vertical="center" wrapText="1"/>
    </xf>
    <xf numFmtId="4" fontId="93" fillId="0" borderId="19" xfId="0" applyNumberFormat="1" applyFont="1" applyFill="1" applyBorder="1" applyAlignment="1">
      <alignment horizontal="center" vertical="center" wrapText="1"/>
    </xf>
    <xf numFmtId="4" fontId="93" fillId="0" borderId="3" xfId="0" applyNumberFormat="1" applyFont="1" applyFill="1" applyBorder="1" applyAlignment="1">
      <alignment horizontal="center" vertical="center" wrapText="1"/>
    </xf>
    <xf numFmtId="0" fontId="104" fillId="40" borderId="69" xfId="0" applyFont="1" applyFill="1" applyBorder="1" applyAlignment="1">
      <alignment horizontal="left" vertical="center" wrapText="1"/>
    </xf>
    <xf numFmtId="3" fontId="104" fillId="40" borderId="69" xfId="0" applyNumberFormat="1" applyFont="1" applyFill="1" applyBorder="1" applyAlignment="1">
      <alignment horizontal="right" wrapText="1"/>
    </xf>
    <xf numFmtId="0" fontId="93" fillId="3" borderId="69" xfId="0" applyFont="1" applyFill="1" applyBorder="1" applyAlignment="1">
      <alignment horizontal="center" vertical="center"/>
    </xf>
    <xf numFmtId="4" fontId="93" fillId="3" borderId="69" xfId="0" applyNumberFormat="1" applyFont="1" applyFill="1" applyBorder="1" applyAlignment="1">
      <alignment horizontal="center" vertical="center" wrapText="1"/>
    </xf>
    <xf numFmtId="4" fontId="103" fillId="3" borderId="69" xfId="230" applyNumberFormat="1" applyFont="1" applyFill="1" applyBorder="1" applyAlignment="1">
      <alignment horizontal="center" vertical="center" wrapText="1"/>
    </xf>
    <xf numFmtId="4" fontId="103" fillId="0" borderId="69" xfId="230" applyNumberFormat="1" applyFont="1" applyFill="1" applyBorder="1" applyAlignment="1">
      <alignment horizontal="center" vertical="center" wrapText="1"/>
    </xf>
    <xf numFmtId="3" fontId="93" fillId="2" borderId="69" xfId="0" applyNumberFormat="1" applyFont="1" applyFill="1" applyBorder="1" applyAlignment="1">
      <alignment horizontal="right" wrapText="1"/>
    </xf>
    <xf numFmtId="0" fontId="100" fillId="2" borderId="0" xfId="0" applyFont="1" applyFill="1"/>
    <xf numFmtId="3" fontId="98" fillId="2" borderId="69" xfId="0" applyNumberFormat="1" applyFont="1" applyFill="1" applyBorder="1" applyAlignment="1">
      <alignment horizontal="right" wrapText="1"/>
    </xf>
    <xf numFmtId="14" fontId="93" fillId="3" borderId="69" xfId="0" applyNumberFormat="1" applyFont="1" applyFill="1" applyBorder="1" applyAlignment="1">
      <alignment horizontal="center" vertical="center"/>
    </xf>
    <xf numFmtId="4" fontId="93" fillId="0" borderId="69" xfId="0" applyNumberFormat="1" applyFont="1" applyFill="1" applyBorder="1" applyAlignment="1">
      <alignment horizontal="center" vertical="center" wrapText="1"/>
    </xf>
    <xf numFmtId="4" fontId="93" fillId="0" borderId="72" xfId="0" applyNumberFormat="1" applyFont="1" applyFill="1" applyBorder="1" applyAlignment="1">
      <alignment horizontal="center" vertical="center" wrapText="1"/>
    </xf>
    <xf numFmtId="3" fontId="99" fillId="2" borderId="69" xfId="0" applyNumberFormat="1" applyFont="1" applyFill="1" applyBorder="1" applyAlignment="1">
      <alignment horizontal="right" vertical="center" wrapText="1"/>
    </xf>
    <xf numFmtId="4" fontId="103" fillId="0" borderId="3" xfId="230" applyNumberFormat="1" applyFont="1" applyFill="1" applyBorder="1" applyAlignment="1">
      <alignment horizontal="center" vertical="center" wrapText="1"/>
    </xf>
    <xf numFmtId="0" fontId="93" fillId="2" borderId="69" xfId="0" applyFont="1" applyFill="1" applyBorder="1" applyAlignment="1">
      <alignment horizontal="center" vertical="center" wrapText="1"/>
    </xf>
    <xf numFmtId="49" fontId="93" fillId="0" borderId="69" xfId="0" applyNumberFormat="1" applyFont="1" applyFill="1" applyBorder="1" applyAlignment="1">
      <alignment horizontal="center" vertical="center" wrapText="1"/>
    </xf>
    <xf numFmtId="14" fontId="93" fillId="0" borderId="69" xfId="0" applyNumberFormat="1" applyFont="1" applyFill="1" applyBorder="1" applyAlignment="1">
      <alignment horizontal="center" vertical="center"/>
    </xf>
    <xf numFmtId="0" fontId="93" fillId="2" borderId="69" xfId="0" applyFont="1" applyFill="1" applyBorder="1" applyAlignment="1">
      <alignment horizontal="center" vertical="center"/>
    </xf>
    <xf numFmtId="164" fontId="93" fillId="0" borderId="69" xfId="225" applyFont="1" applyBorder="1" applyAlignment="1">
      <alignment horizontal="center" vertical="center"/>
    </xf>
    <xf numFmtId="49" fontId="93" fillId="0" borderId="73" xfId="0" applyNumberFormat="1" applyFont="1" applyFill="1" applyBorder="1" applyAlignment="1">
      <alignment horizontal="center" vertical="center" wrapText="1"/>
    </xf>
    <xf numFmtId="0" fontId="93" fillId="0" borderId="0" xfId="0" applyFont="1" applyFill="1" applyAlignment="1">
      <alignment horizontal="center" vertical="center" wrapText="1"/>
    </xf>
    <xf numFmtId="14" fontId="93" fillId="3" borderId="69" xfId="0" applyNumberFormat="1" applyFont="1" applyFill="1" applyBorder="1" applyAlignment="1">
      <alignment horizontal="center" vertical="center" wrapText="1"/>
    </xf>
    <xf numFmtId="0" fontId="93" fillId="2" borderId="70" xfId="0" applyFont="1" applyFill="1" applyBorder="1" applyAlignment="1">
      <alignment horizontal="center" vertical="center"/>
    </xf>
    <xf numFmtId="0" fontId="93" fillId="2" borderId="69" xfId="0" applyFont="1" applyFill="1" applyBorder="1" applyAlignment="1">
      <alignment horizontal="left" vertical="center" wrapText="1"/>
    </xf>
    <xf numFmtId="0" fontId="93" fillId="0" borderId="69" xfId="0" applyFont="1" applyBorder="1" applyAlignment="1">
      <alignment horizontal="center" vertical="center" wrapText="1"/>
    </xf>
    <xf numFmtId="14" fontId="93" fillId="0" borderId="69" xfId="0" applyNumberFormat="1" applyFont="1" applyFill="1" applyBorder="1" applyAlignment="1">
      <alignment horizontal="center" vertical="center" wrapText="1"/>
    </xf>
    <xf numFmtId="0" fontId="93" fillId="0" borderId="69" xfId="0" applyFont="1" applyBorder="1" applyAlignment="1">
      <alignment horizontal="left" vertical="center" wrapText="1"/>
    </xf>
    <xf numFmtId="3" fontId="96" fillId="0" borderId="69" xfId="0" applyNumberFormat="1" applyFont="1" applyBorder="1" applyAlignment="1">
      <alignment horizontal="right" vertical="center" wrapText="1"/>
    </xf>
    <xf numFmtId="4" fontId="93" fillId="0" borderId="69" xfId="230" applyNumberFormat="1" applyFont="1" applyFill="1" applyBorder="1" applyAlignment="1">
      <alignment horizontal="center" vertical="center" wrapText="1"/>
    </xf>
    <xf numFmtId="166" fontId="99" fillId="14" borderId="69" xfId="0" applyNumberFormat="1" applyFont="1" applyFill="1" applyBorder="1" applyAlignment="1">
      <alignment horizontal="center"/>
    </xf>
    <xf numFmtId="4" fontId="99" fillId="14" borderId="69" xfId="0" applyNumberFormat="1" applyFont="1" applyFill="1" applyBorder="1" applyAlignment="1">
      <alignment horizontal="right" vertical="center"/>
    </xf>
    <xf numFmtId="0" fontId="93" fillId="0" borderId="72" xfId="0" applyFont="1" applyBorder="1" applyAlignment="1">
      <alignment horizontal="center" vertical="center" wrapText="1"/>
    </xf>
    <xf numFmtId="3" fontId="93" fillId="0" borderId="69" xfId="0" applyNumberFormat="1" applyFont="1" applyBorder="1" applyAlignment="1">
      <alignment horizontal="right" vertical="center" wrapText="1"/>
    </xf>
    <xf numFmtId="0" fontId="103" fillId="0" borderId="0" xfId="230" applyFont="1" applyAlignment="1">
      <alignment horizontal="center" wrapText="1"/>
    </xf>
    <xf numFmtId="4" fontId="99" fillId="0" borderId="69" xfId="0" applyNumberFormat="1" applyFont="1" applyFill="1" applyBorder="1" applyAlignment="1">
      <alignment horizontal="center" vertical="center" wrapText="1"/>
    </xf>
    <xf numFmtId="49" fontId="103" fillId="0" borderId="69" xfId="230" applyNumberFormat="1" applyFont="1" applyFill="1" applyBorder="1" applyAlignment="1">
      <alignment horizontal="center" vertical="center" wrapText="1"/>
    </xf>
    <xf numFmtId="15" fontId="93" fillId="0" borderId="69" xfId="0" applyNumberFormat="1" applyFont="1" applyFill="1" applyBorder="1" applyAlignment="1">
      <alignment horizontal="center" vertical="center"/>
    </xf>
    <xf numFmtId="3" fontId="99" fillId="14" borderId="69" xfId="0" applyNumberFormat="1" applyFont="1" applyFill="1" applyBorder="1" applyAlignment="1">
      <alignment horizontal="center" vertical="center"/>
    </xf>
    <xf numFmtId="3" fontId="93" fillId="2" borderId="69" xfId="0" applyNumberFormat="1" applyFont="1" applyFill="1" applyBorder="1" applyAlignment="1">
      <alignment horizontal="center" vertical="center"/>
    </xf>
    <xf numFmtId="0" fontId="93" fillId="0" borderId="69" xfId="0" applyFont="1" applyBorder="1" applyAlignment="1">
      <alignment horizontal="center" wrapText="1"/>
    </xf>
    <xf numFmtId="0" fontId="93" fillId="2" borderId="69" xfId="0" applyFont="1" applyFill="1" applyBorder="1" applyAlignment="1">
      <alignment horizontal="center" wrapText="1"/>
    </xf>
    <xf numFmtId="49" fontId="93" fillId="2" borderId="69" xfId="0" applyNumberFormat="1" applyFont="1" applyFill="1" applyBorder="1" applyAlignment="1">
      <alignment horizontal="center" vertical="center" wrapText="1"/>
    </xf>
    <xf numFmtId="14" fontId="93" fillId="2" borderId="69" xfId="0" applyNumberFormat="1" applyFont="1" applyFill="1" applyBorder="1" applyAlignment="1">
      <alignment horizontal="center" vertical="center"/>
    </xf>
    <xf numFmtId="4" fontId="93" fillId="2" borderId="69" xfId="0" applyNumberFormat="1" applyFont="1" applyFill="1" applyBorder="1" applyAlignment="1">
      <alignment horizontal="center" vertical="center" wrapText="1"/>
    </xf>
    <xf numFmtId="3" fontId="93" fillId="2" borderId="69" xfId="0" applyNumberFormat="1" applyFont="1" applyFill="1" applyBorder="1" applyAlignment="1">
      <alignment horizontal="center" vertical="center" wrapText="1"/>
    </xf>
    <xf numFmtId="4" fontId="96" fillId="3" borderId="69" xfId="0" applyNumberFormat="1" applyFont="1" applyFill="1" applyBorder="1" applyAlignment="1">
      <alignment horizontal="center" vertical="center" wrapText="1"/>
    </xf>
    <xf numFmtId="164" fontId="99" fillId="14" borderId="69" xfId="225" applyFont="1" applyFill="1" applyBorder="1" applyAlignment="1">
      <alignment horizontal="center" vertical="center"/>
    </xf>
    <xf numFmtId="14" fontId="96" fillId="3" borderId="69" xfId="0" applyNumberFormat="1" applyFont="1" applyFill="1" applyBorder="1" applyAlignment="1">
      <alignment horizontal="center" vertical="center"/>
    </xf>
    <xf numFmtId="4" fontId="96" fillId="0" borderId="69" xfId="0" applyNumberFormat="1" applyFont="1" applyFill="1" applyBorder="1" applyAlignment="1">
      <alignment horizontal="center" vertical="center" wrapText="1"/>
    </xf>
    <xf numFmtId="0" fontId="99" fillId="39" borderId="69" xfId="0" applyFont="1" applyFill="1" applyBorder="1" applyAlignment="1">
      <alignment horizontal="center" wrapText="1"/>
    </xf>
    <xf numFmtId="49" fontId="99" fillId="14" borderId="69" xfId="0" applyNumberFormat="1" applyFont="1" applyFill="1" applyBorder="1" applyAlignment="1">
      <alignment horizontal="center" vertical="center"/>
    </xf>
    <xf numFmtId="4" fontId="96" fillId="3" borderId="69" xfId="0" applyNumberFormat="1" applyFont="1" applyFill="1" applyBorder="1" applyAlignment="1">
      <alignment horizontal="center" vertical="center"/>
    </xf>
    <xf numFmtId="4" fontId="93" fillId="0" borderId="69" xfId="0" applyNumberFormat="1" applyFont="1" applyFill="1" applyBorder="1" applyAlignment="1">
      <alignment horizontal="center" vertical="center"/>
    </xf>
    <xf numFmtId="0" fontId="93" fillId="2" borderId="73" xfId="0" applyFont="1" applyFill="1" applyBorder="1" applyAlignment="1">
      <alignment horizontal="center" vertical="center"/>
    </xf>
    <xf numFmtId="49" fontId="93" fillId="3" borderId="72" xfId="0" applyNumberFormat="1" applyFont="1" applyFill="1" applyBorder="1" applyAlignment="1">
      <alignment horizontal="center" vertical="center" wrapText="1"/>
    </xf>
    <xf numFmtId="14" fontId="96" fillId="3" borderId="72" xfId="0" applyNumberFormat="1" applyFont="1" applyFill="1" applyBorder="1" applyAlignment="1">
      <alignment horizontal="center" vertical="center" wrapText="1"/>
    </xf>
    <xf numFmtId="4" fontId="93" fillId="0" borderId="72" xfId="0" applyNumberFormat="1" applyFont="1" applyFill="1" applyBorder="1" applyAlignment="1">
      <alignment horizontal="center" vertical="center"/>
    </xf>
    <xf numFmtId="3" fontId="93" fillId="2" borderId="72" xfId="0" applyNumberFormat="1" applyFont="1" applyFill="1" applyBorder="1" applyAlignment="1">
      <alignment horizontal="right" vertical="center" wrapText="1"/>
    </xf>
    <xf numFmtId="3" fontId="96" fillId="0" borderId="69" xfId="0" applyNumberFormat="1" applyFont="1" applyBorder="1" applyAlignment="1">
      <alignment vertical="center" wrapText="1"/>
    </xf>
    <xf numFmtId="49" fontId="93" fillId="0" borderId="0" xfId="0" applyNumberFormat="1" applyFont="1" applyFill="1" applyAlignment="1">
      <alignment horizontal="center" vertical="center"/>
    </xf>
    <xf numFmtId="14" fontId="93" fillId="2" borderId="72" xfId="0" applyNumberFormat="1" applyFont="1" applyFill="1" applyBorder="1" applyAlignment="1">
      <alignment horizontal="center" vertical="center" wrapText="1"/>
    </xf>
    <xf numFmtId="0" fontId="93" fillId="0" borderId="88" xfId="0" applyFont="1" applyBorder="1" applyAlignment="1">
      <alignment horizontal="left" vertical="center" wrapText="1"/>
    </xf>
    <xf numFmtId="3" fontId="96" fillId="0" borderId="19" xfId="0" applyNumberFormat="1" applyFont="1" applyBorder="1" applyAlignment="1">
      <alignment horizontal="center" vertical="center" wrapText="1"/>
    </xf>
    <xf numFmtId="3" fontId="99" fillId="10" borderId="71" xfId="0" applyNumberFormat="1" applyFont="1" applyFill="1" applyBorder="1" applyAlignment="1">
      <alignment horizontal="right" wrapText="1"/>
    </xf>
    <xf numFmtId="0" fontId="93" fillId="0" borderId="0" xfId="0" applyFont="1"/>
    <xf numFmtId="0" fontId="93" fillId="0" borderId="0" xfId="0" applyFont="1" applyFill="1" applyAlignment="1">
      <alignment horizontal="center"/>
    </xf>
    <xf numFmtId="0" fontId="93" fillId="0" borderId="0" xfId="0" applyFont="1" applyFill="1"/>
    <xf numFmtId="4" fontId="93" fillId="0" borderId="0" xfId="0" applyNumberFormat="1" applyFont="1" applyFill="1" applyAlignment="1">
      <alignment horizontal="center"/>
    </xf>
    <xf numFmtId="164" fontId="93" fillId="0" borderId="0" xfId="225" applyFont="1" applyFill="1" applyAlignment="1">
      <alignment horizontal="right" vertical="center"/>
    </xf>
    <xf numFmtId="14" fontId="99" fillId="39" borderId="0" xfId="0" applyNumberFormat="1" applyFont="1" applyFill="1" applyAlignment="1">
      <alignment horizontal="center"/>
    </xf>
    <xf numFmtId="3" fontId="99" fillId="10" borderId="69" xfId="0" applyNumberFormat="1" applyFont="1" applyFill="1" applyBorder="1" applyAlignment="1">
      <alignment horizontal="center" wrapText="1"/>
    </xf>
    <xf numFmtId="170" fontId="105" fillId="41" borderId="0" xfId="0" applyNumberFormat="1" applyFont="1" applyFill="1" applyAlignment="1">
      <alignment horizontal="center" vertical="center"/>
    </xf>
    <xf numFmtId="4" fontId="93" fillId="3" borderId="72" xfId="0" applyNumberFormat="1" applyFont="1" applyFill="1" applyBorder="1" applyAlignment="1">
      <alignment horizontal="center" vertical="center"/>
    </xf>
    <xf numFmtId="0" fontId="96" fillId="0" borderId="69" xfId="0" applyFont="1" applyBorder="1" applyAlignment="1">
      <alignment horizontal="left" vertical="center" wrapText="1"/>
    </xf>
    <xf numFmtId="3" fontId="93" fillId="2" borderId="69" xfId="0" applyNumberFormat="1" applyFont="1" applyFill="1" applyBorder="1" applyAlignment="1">
      <alignment horizontal="center" vertical="center"/>
    </xf>
    <xf numFmtId="0" fontId="100" fillId="3" borderId="0" xfId="0" applyFont="1" applyFill="1" applyAlignment="1">
      <alignment horizontal="center" vertical="center"/>
    </xf>
    <xf numFmtId="164" fontId="93" fillId="0" borderId="72" xfId="225" applyFont="1" applyBorder="1" applyAlignment="1">
      <alignment horizontal="center" vertical="center"/>
    </xf>
    <xf numFmtId="1" fontId="99" fillId="0" borderId="0" xfId="0" applyNumberFormat="1" applyFont="1" applyAlignment="1"/>
    <xf numFmtId="3" fontId="100" fillId="0" borderId="0" xfId="0" applyNumberFormat="1" applyFont="1"/>
    <xf numFmtId="164" fontId="93" fillId="0" borderId="69" xfId="225" applyFont="1" applyFill="1" applyBorder="1" applyAlignment="1">
      <alignment horizontal="center" vertical="center"/>
    </xf>
    <xf numFmtId="4" fontId="99" fillId="2" borderId="69" xfId="0" applyNumberFormat="1" applyFont="1" applyFill="1" applyBorder="1" applyAlignment="1">
      <alignment horizontal="center" vertical="center" wrapText="1"/>
    </xf>
    <xf numFmtId="164" fontId="99" fillId="2" borderId="69" xfId="225" applyFont="1" applyFill="1" applyBorder="1" applyAlignment="1">
      <alignment vertical="center"/>
    </xf>
    <xf numFmtId="3" fontId="99" fillId="2" borderId="69" xfId="0" applyNumberFormat="1" applyFont="1" applyFill="1" applyBorder="1" applyAlignment="1">
      <alignment horizontal="center" vertical="center"/>
    </xf>
    <xf numFmtId="3" fontId="93" fillId="2" borderId="69" xfId="0" applyNumberFormat="1" applyFont="1" applyFill="1" applyBorder="1" applyAlignment="1">
      <alignment horizontal="right" vertical="center"/>
    </xf>
    <xf numFmtId="164" fontId="93" fillId="0" borderId="0" xfId="225" applyFont="1" applyAlignment="1">
      <alignment vertical="center"/>
    </xf>
    <xf numFmtId="164" fontId="99" fillId="0" borderId="0" xfId="225" applyFont="1"/>
    <xf numFmtId="164" fontId="106" fillId="0" borderId="0" xfId="225" applyFont="1" applyAlignment="1">
      <alignment vertical="center"/>
    </xf>
    <xf numFmtId="0" fontId="15" fillId="0" borderId="31"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25" xfId="0" applyFont="1" applyBorder="1" applyAlignment="1">
      <alignment horizontal="center" vertical="center" wrapText="1"/>
    </xf>
    <xf numFmtId="0" fontId="14" fillId="0" borderId="37" xfId="0" applyFont="1" applyBorder="1" applyAlignment="1">
      <alignment vertical="center" wrapText="1"/>
    </xf>
    <xf numFmtId="0" fontId="15" fillId="0" borderId="26"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6" xfId="0" applyFont="1" applyBorder="1" applyAlignment="1">
      <alignment horizontal="center" vertical="center" wrapText="1"/>
    </xf>
    <xf numFmtId="4" fontId="14" fillId="0" borderId="37" xfId="0" applyNumberFormat="1" applyFont="1" applyBorder="1" applyAlignment="1">
      <alignment vertical="center" wrapText="1"/>
    </xf>
    <xf numFmtId="0" fontId="23" fillId="0" borderId="25" xfId="0" applyFont="1" applyBorder="1" applyAlignment="1">
      <alignment horizontal="center" vertical="center" wrapText="1"/>
    </xf>
    <xf numFmtId="0" fontId="34" fillId="0" borderId="28" xfId="0" applyFont="1" applyBorder="1" applyAlignment="1">
      <alignment horizontal="justify" vertical="center" wrapText="1"/>
    </xf>
    <xf numFmtId="0" fontId="34" fillId="0" borderId="43" xfId="0" applyFont="1" applyBorder="1" applyAlignment="1">
      <alignment horizontal="justify" vertical="center" wrapText="1"/>
    </xf>
    <xf numFmtId="0" fontId="23" fillId="0" borderId="26" xfId="0" applyFont="1" applyBorder="1" applyAlignment="1">
      <alignment horizontal="center" vertical="center" wrapText="1"/>
    </xf>
    <xf numFmtId="3" fontId="0" fillId="0" borderId="2"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4" fillId="0" borderId="0" xfId="0" applyFont="1" applyAlignment="1">
      <alignment horizontal="center" vertical="center"/>
    </xf>
    <xf numFmtId="0" fontId="39" fillId="0" borderId="47" xfId="0" applyFont="1" applyBorder="1" applyAlignment="1">
      <alignment horizontal="center" vertical="center" wrapText="1"/>
    </xf>
    <xf numFmtId="0" fontId="39" fillId="0" borderId="1"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46" xfId="0" applyFont="1" applyBorder="1" applyAlignment="1">
      <alignment horizontal="center" vertical="center" wrapText="1"/>
    </xf>
    <xf numFmtId="0" fontId="39" fillId="0" borderId="8"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5" xfId="0" applyFont="1" applyBorder="1" applyAlignment="1">
      <alignment horizontal="center" vertical="center" wrapText="1"/>
    </xf>
    <xf numFmtId="0" fontId="38" fillId="0" borderId="19" xfId="0" applyFont="1" applyBorder="1" applyAlignment="1">
      <alignment horizontal="center" vertical="center" wrapText="1"/>
    </xf>
    <xf numFmtId="0" fontId="38" fillId="0" borderId="49" xfId="0" applyFont="1" applyBorder="1" applyAlignment="1">
      <alignment horizontal="center" vertical="center" wrapText="1"/>
    </xf>
    <xf numFmtId="0" fontId="39" fillId="0" borderId="47" xfId="35" applyFont="1" applyFill="1" applyBorder="1" applyAlignment="1">
      <alignment horizontal="center" vertical="center" wrapText="1"/>
    </xf>
    <xf numFmtId="0" fontId="38" fillId="0" borderId="47" xfId="0" applyFont="1" applyBorder="1" applyAlignment="1">
      <alignment horizontal="center" vertical="center" wrapText="1"/>
    </xf>
    <xf numFmtId="0" fontId="39" fillId="0" borderId="47" xfId="0" applyFont="1" applyFill="1" applyBorder="1" applyAlignment="1">
      <alignment horizontal="center" vertical="center" wrapText="1"/>
    </xf>
    <xf numFmtId="0" fontId="39" fillId="0" borderId="48" xfId="0" applyFont="1" applyBorder="1" applyAlignment="1">
      <alignment horizontal="center" vertical="center" wrapText="1"/>
    </xf>
    <xf numFmtId="0" fontId="39" fillId="0" borderId="24" xfId="35" applyFont="1" applyFill="1" applyBorder="1" applyAlignment="1">
      <alignment horizontal="center" vertical="top" wrapText="1"/>
    </xf>
    <xf numFmtId="0" fontId="38" fillId="0" borderId="23" xfId="0" applyFont="1" applyFill="1" applyBorder="1" applyAlignment="1">
      <alignment horizontal="center" vertical="top" wrapText="1"/>
    </xf>
    <xf numFmtId="0" fontId="38" fillId="0" borderId="4" xfId="0" applyFont="1" applyFill="1" applyBorder="1" applyAlignment="1">
      <alignment horizontal="center" vertical="top" wrapText="1"/>
    </xf>
    <xf numFmtId="0" fontId="38" fillId="0" borderId="5" xfId="0" applyFont="1" applyFill="1" applyBorder="1" applyAlignment="1">
      <alignment horizontal="center" vertical="top" wrapText="1"/>
    </xf>
    <xf numFmtId="0" fontId="39" fillId="0" borderId="1" xfId="35" applyFont="1" applyFill="1" applyBorder="1" applyAlignment="1">
      <alignment horizontal="center" vertical="center" wrapText="1"/>
    </xf>
    <xf numFmtId="0" fontId="38" fillId="0" borderId="1" xfId="0" applyFont="1" applyBorder="1" applyAlignment="1">
      <alignment horizontal="center" vertical="center" wrapText="1"/>
    </xf>
    <xf numFmtId="0" fontId="39" fillId="0" borderId="11" xfId="35" applyFont="1" applyFill="1" applyBorder="1" applyAlignment="1">
      <alignment horizontal="center" vertical="center" wrapText="1"/>
    </xf>
    <xf numFmtId="0" fontId="38" fillId="0" borderId="1" xfId="35" applyFont="1" applyFill="1" applyBorder="1" applyAlignment="1">
      <alignment horizontal="center" vertical="center" wrapText="1"/>
    </xf>
    <xf numFmtId="0" fontId="38" fillId="0" borderId="11" xfId="35" applyFont="1" applyFill="1" applyBorder="1" applyAlignment="1">
      <alignment horizontal="center" vertical="center" wrapText="1"/>
    </xf>
    <xf numFmtId="0" fontId="40" fillId="2" borderId="1" xfId="35" applyFont="1" applyFill="1" applyBorder="1" applyAlignment="1">
      <alignment horizontal="center" vertical="center" wrapText="1"/>
    </xf>
    <xf numFmtId="0" fontId="43" fillId="2" borderId="1" xfId="35" applyFont="1" applyFill="1" applyBorder="1" applyAlignment="1">
      <alignment horizontal="center" vertical="center" wrapText="1"/>
    </xf>
    <xf numFmtId="0" fontId="43" fillId="2" borderId="11" xfId="35" applyFont="1" applyFill="1" applyBorder="1" applyAlignment="1">
      <alignment horizontal="center" vertical="center" wrapText="1"/>
    </xf>
    <xf numFmtId="0" fontId="38" fillId="0" borderId="47" xfId="35" applyFont="1" applyFill="1" applyBorder="1" applyAlignment="1">
      <alignment horizontal="center" vertical="center" wrapText="1"/>
    </xf>
    <xf numFmtId="0" fontId="39" fillId="2" borderId="47" xfId="35" applyFont="1" applyFill="1" applyBorder="1" applyAlignment="1">
      <alignment horizontal="center" vertical="center" wrapText="1"/>
    </xf>
    <xf numFmtId="0" fontId="38" fillId="2" borderId="47" xfId="35" applyFont="1" applyFill="1" applyBorder="1" applyAlignment="1">
      <alignment horizontal="center" vertical="center" wrapText="1"/>
    </xf>
    <xf numFmtId="0" fontId="39" fillId="3" borderId="1" xfId="35" applyFont="1" applyFill="1" applyBorder="1" applyAlignment="1">
      <alignment horizontal="center" vertical="center" wrapText="1"/>
    </xf>
    <xf numFmtId="0" fontId="38" fillId="3" borderId="1" xfId="35" applyFont="1" applyFill="1" applyBorder="1" applyAlignment="1">
      <alignment horizontal="center" vertical="center" wrapText="1"/>
    </xf>
    <xf numFmtId="0" fontId="38" fillId="3" borderId="11" xfId="35" applyFont="1" applyFill="1" applyBorder="1" applyAlignment="1">
      <alignment horizontal="center" vertical="center" wrapText="1"/>
    </xf>
    <xf numFmtId="0" fontId="39" fillId="2" borderId="1" xfId="35" applyFont="1" applyFill="1" applyBorder="1" applyAlignment="1">
      <alignment horizontal="center" vertical="center" wrapText="1"/>
    </xf>
    <xf numFmtId="0" fontId="38" fillId="2" borderId="1" xfId="35" applyFont="1" applyFill="1" applyBorder="1" applyAlignment="1">
      <alignment horizontal="center" vertical="center" wrapText="1"/>
    </xf>
    <xf numFmtId="0" fontId="38" fillId="2" borderId="11" xfId="35" applyFont="1" applyFill="1" applyBorder="1" applyAlignment="1">
      <alignment horizontal="center" vertical="center" wrapText="1"/>
    </xf>
    <xf numFmtId="0" fontId="39" fillId="2" borderId="11" xfId="35" applyFont="1" applyFill="1" applyBorder="1" applyAlignment="1">
      <alignment horizontal="center" vertical="center" wrapText="1"/>
    </xf>
    <xf numFmtId="0" fontId="39" fillId="16" borderId="1" xfId="35" applyFont="1" applyFill="1" applyBorder="1" applyAlignment="1">
      <alignment horizontal="center" vertical="center" wrapText="1"/>
    </xf>
    <xf numFmtId="0" fontId="39" fillId="16" borderId="2" xfId="35" applyFont="1" applyFill="1" applyBorder="1" applyAlignment="1">
      <alignment horizontal="center" vertical="center" wrapText="1"/>
    </xf>
    <xf numFmtId="0" fontId="39" fillId="0" borderId="1" xfId="0" applyFont="1" applyFill="1" applyBorder="1" applyAlignment="1">
      <alignment horizontal="center" vertical="center" wrapText="1"/>
    </xf>
    <xf numFmtId="0" fontId="39" fillId="0" borderId="11" xfId="0" applyFont="1" applyFill="1" applyBorder="1" applyAlignment="1">
      <alignment horizontal="center" vertical="center" wrapText="1"/>
    </xf>
    <xf numFmtId="0" fontId="38" fillId="0" borderId="54" xfId="0" applyFont="1" applyBorder="1" applyAlignment="1">
      <alignment horizontal="center" vertical="center"/>
    </xf>
    <xf numFmtId="0" fontId="38" fillId="0" borderId="20" xfId="0" applyFont="1" applyBorder="1" applyAlignment="1">
      <alignment horizontal="center" vertical="center"/>
    </xf>
    <xf numFmtId="0" fontId="38" fillId="0" borderId="6" xfId="0" applyFont="1" applyBorder="1" applyAlignment="1">
      <alignment horizontal="center" vertical="center"/>
    </xf>
    <xf numFmtId="3" fontId="39" fillId="0" borderId="15" xfId="0" applyNumberFormat="1" applyFont="1" applyBorder="1" applyAlignment="1">
      <alignment horizontal="center" vertical="center" wrapText="1"/>
    </xf>
    <xf numFmtId="3" fontId="39" fillId="0" borderId="19" xfId="0" applyNumberFormat="1" applyFont="1" applyBorder="1" applyAlignment="1">
      <alignment horizontal="center" vertical="center" wrapText="1"/>
    </xf>
    <xf numFmtId="3" fontId="39" fillId="0" borderId="3" xfId="0" applyNumberFormat="1" applyFont="1" applyBorder="1" applyAlignment="1">
      <alignment horizontal="center" vertical="center" wrapText="1"/>
    </xf>
    <xf numFmtId="0" fontId="39" fillId="0" borderId="1" xfId="0" applyFont="1" applyBorder="1" applyAlignment="1">
      <alignment wrapText="1"/>
    </xf>
    <xf numFmtId="0" fontId="39" fillId="0" borderId="9" xfId="0" applyFont="1" applyBorder="1" applyAlignment="1">
      <alignment wrapText="1"/>
    </xf>
    <xf numFmtId="0" fontId="38" fillId="16" borderId="2" xfId="0" applyFont="1" applyFill="1" applyBorder="1" applyAlignment="1">
      <alignment horizontal="center" vertical="center" wrapText="1"/>
    </xf>
    <xf numFmtId="0" fontId="39" fillId="3" borderId="1" xfId="0" applyFont="1" applyFill="1" applyBorder="1" applyAlignment="1">
      <alignment horizontal="center" vertical="center" wrapText="1"/>
    </xf>
    <xf numFmtId="0" fontId="39" fillId="3" borderId="11" xfId="0" applyFont="1" applyFill="1" applyBorder="1" applyAlignment="1">
      <alignment horizontal="center" vertical="center" wrapText="1"/>
    </xf>
    <xf numFmtId="0" fontId="39" fillId="3" borderId="9" xfId="0" applyFont="1" applyFill="1" applyBorder="1" applyAlignment="1">
      <alignment horizontal="center" vertical="center" wrapText="1"/>
    </xf>
    <xf numFmtId="0" fontId="39" fillId="3" borderId="50" xfId="0" applyFont="1" applyFill="1" applyBorder="1" applyAlignment="1">
      <alignment horizontal="center" vertical="center" wrapText="1"/>
    </xf>
    <xf numFmtId="0" fontId="39" fillId="0" borderId="51" xfId="0" applyFont="1" applyBorder="1" applyAlignment="1">
      <alignment horizontal="center"/>
    </xf>
    <xf numFmtId="0" fontId="39" fillId="0" borderId="52" xfId="0" applyFont="1" applyBorder="1" applyAlignment="1">
      <alignment horizontal="center"/>
    </xf>
    <xf numFmtId="0" fontId="39" fillId="0" borderId="56" xfId="0" applyFont="1" applyBorder="1" applyAlignment="1">
      <alignment horizontal="center"/>
    </xf>
    <xf numFmtId="0" fontId="39" fillId="0" borderId="49" xfId="0" applyFont="1" applyBorder="1" applyAlignment="1">
      <alignment horizontal="center"/>
    </xf>
    <xf numFmtId="0" fontId="38" fillId="0" borderId="21" xfId="0" applyFont="1" applyBorder="1" applyAlignment="1">
      <alignment horizontal="center" vertical="center"/>
    </xf>
    <xf numFmtId="3" fontId="39" fillId="0" borderId="2" xfId="0" applyNumberFormat="1" applyFont="1" applyBorder="1" applyAlignment="1">
      <alignment horizontal="center" vertical="center" wrapText="1"/>
    </xf>
    <xf numFmtId="0" fontId="39" fillId="0" borderId="10" xfId="0" applyFont="1" applyBorder="1" applyAlignment="1">
      <alignment horizontal="center"/>
    </xf>
    <xf numFmtId="0" fontId="39" fillId="0" borderId="11" xfId="0" applyFont="1" applyBorder="1" applyAlignment="1">
      <alignment horizontal="center"/>
    </xf>
    <xf numFmtId="0" fontId="93" fillId="2" borderId="72" xfId="0" applyFont="1" applyFill="1" applyBorder="1" applyAlignment="1">
      <alignment horizontal="center" vertical="center"/>
    </xf>
    <xf numFmtId="0" fontId="93" fillId="2" borderId="3" xfId="0" applyFont="1" applyFill="1" applyBorder="1" applyAlignment="1">
      <alignment horizontal="center" vertical="center"/>
    </xf>
    <xf numFmtId="164" fontId="93" fillId="0" borderId="72" xfId="225" applyFont="1" applyBorder="1" applyAlignment="1">
      <alignment horizontal="center" vertical="center"/>
    </xf>
    <xf numFmtId="164" fontId="93" fillId="0" borderId="3" xfId="225" applyFont="1" applyBorder="1" applyAlignment="1">
      <alignment horizontal="center" vertical="center"/>
    </xf>
    <xf numFmtId="169" fontId="93" fillId="0" borderId="72" xfId="0" applyNumberFormat="1" applyFont="1" applyBorder="1" applyAlignment="1">
      <alignment horizontal="center" vertical="center"/>
    </xf>
    <xf numFmtId="169" fontId="93" fillId="0" borderId="3" xfId="0" applyNumberFormat="1" applyFont="1" applyBorder="1" applyAlignment="1">
      <alignment horizontal="center" vertical="center"/>
    </xf>
    <xf numFmtId="3" fontId="96" fillId="0" borderId="72" xfId="0" applyNumberFormat="1" applyFont="1" applyBorder="1" applyAlignment="1">
      <alignment horizontal="center" vertical="center" wrapText="1"/>
    </xf>
    <xf numFmtId="3" fontId="96" fillId="0" borderId="3" xfId="0" applyNumberFormat="1" applyFont="1" applyBorder="1" applyAlignment="1">
      <alignment horizontal="center" vertical="center" wrapText="1"/>
    </xf>
    <xf numFmtId="3" fontId="96" fillId="0" borderId="72" xfId="0" applyNumberFormat="1" applyFont="1" applyBorder="1" applyAlignment="1">
      <alignment horizontal="right" vertical="center" wrapText="1"/>
    </xf>
    <xf numFmtId="3" fontId="96" fillId="0" borderId="3" xfId="0" applyNumberFormat="1" applyFont="1" applyBorder="1" applyAlignment="1">
      <alignment horizontal="right" vertical="center" wrapText="1"/>
    </xf>
    <xf numFmtId="3" fontId="93" fillId="0" borderId="72" xfId="0" applyNumberFormat="1" applyFont="1" applyBorder="1" applyAlignment="1">
      <alignment horizontal="center" vertical="center" wrapText="1"/>
    </xf>
    <xf numFmtId="3" fontId="93" fillId="0" borderId="3" xfId="0" applyNumberFormat="1" applyFont="1" applyBorder="1" applyAlignment="1">
      <alignment horizontal="center" vertical="center" wrapText="1"/>
    </xf>
    <xf numFmtId="4" fontId="93" fillId="2" borderId="72" xfId="0" applyNumberFormat="1" applyFont="1" applyFill="1" applyBorder="1" applyAlignment="1">
      <alignment horizontal="center" vertical="center" wrapText="1"/>
    </xf>
    <xf numFmtId="0" fontId="93" fillId="0" borderId="3" xfId="0" applyFont="1" applyBorder="1" applyAlignment="1">
      <alignment vertical="center" wrapText="1"/>
    </xf>
    <xf numFmtId="3" fontId="99" fillId="0" borderId="72" xfId="0" applyNumberFormat="1" applyFont="1" applyBorder="1" applyAlignment="1">
      <alignment horizontal="right" vertical="center" wrapText="1"/>
    </xf>
    <xf numFmtId="3" fontId="99" fillId="0" borderId="3" xfId="0" applyNumberFormat="1" applyFont="1" applyBorder="1" applyAlignment="1">
      <alignment horizontal="right" vertical="center" wrapText="1"/>
    </xf>
    <xf numFmtId="3" fontId="99" fillId="2" borderId="72" xfId="0" applyNumberFormat="1" applyFont="1" applyFill="1" applyBorder="1" applyAlignment="1">
      <alignment horizontal="right" vertical="center" wrapText="1"/>
    </xf>
    <xf numFmtId="3" fontId="99" fillId="2" borderId="3" xfId="0" applyNumberFormat="1" applyFont="1" applyFill="1" applyBorder="1" applyAlignment="1">
      <alignment horizontal="right" vertical="center" wrapText="1"/>
    </xf>
    <xf numFmtId="3" fontId="93" fillId="0" borderId="69" xfId="0" applyNumberFormat="1" applyFont="1" applyBorder="1" applyAlignment="1">
      <alignment horizontal="right" vertical="center" wrapText="1"/>
    </xf>
    <xf numFmtId="3" fontId="93" fillId="0" borderId="72" xfId="0" applyNumberFormat="1" applyFont="1" applyBorder="1" applyAlignment="1">
      <alignment horizontal="right" vertical="center" wrapText="1"/>
    </xf>
    <xf numFmtId="3" fontId="93" fillId="0" borderId="3" xfId="0" applyNumberFormat="1" applyFont="1" applyBorder="1" applyAlignment="1">
      <alignment horizontal="right" vertical="center" wrapText="1"/>
    </xf>
    <xf numFmtId="3" fontId="93" fillId="0" borderId="19" xfId="0" applyNumberFormat="1" applyFont="1" applyBorder="1" applyAlignment="1">
      <alignment horizontal="right" vertical="center" wrapText="1"/>
    </xf>
    <xf numFmtId="4" fontId="103" fillId="0" borderId="72" xfId="230" applyNumberFormat="1" applyFont="1" applyFill="1" applyBorder="1" applyAlignment="1">
      <alignment horizontal="center" vertical="center" wrapText="1"/>
    </xf>
    <xf numFmtId="4" fontId="103" fillId="0" borderId="3" xfId="230" applyNumberFormat="1" applyFont="1" applyFill="1" applyBorder="1" applyAlignment="1">
      <alignment horizontal="center" vertical="center" wrapText="1"/>
    </xf>
    <xf numFmtId="4" fontId="96" fillId="3" borderId="72" xfId="0" applyNumberFormat="1" applyFont="1" applyFill="1" applyBorder="1" applyAlignment="1">
      <alignment horizontal="center" vertical="center"/>
    </xf>
    <xf numFmtId="4" fontId="96" fillId="3" borderId="3" xfId="0" applyNumberFormat="1" applyFont="1" applyFill="1" applyBorder="1" applyAlignment="1">
      <alignment horizontal="center" vertical="center"/>
    </xf>
    <xf numFmtId="0" fontId="99" fillId="39" borderId="77" xfId="0" applyFont="1" applyFill="1" applyBorder="1" applyAlignment="1">
      <alignment horizontal="center" vertical="center" wrapText="1"/>
    </xf>
    <xf numFmtId="0" fontId="99" fillId="39" borderId="73" xfId="0" applyFont="1" applyFill="1" applyBorder="1" applyAlignment="1">
      <alignment horizontal="center" vertical="center" wrapText="1"/>
    </xf>
    <xf numFmtId="0" fontId="93" fillId="2" borderId="83" xfId="0" applyFont="1" applyFill="1" applyBorder="1" applyAlignment="1">
      <alignment horizontal="center" vertical="center"/>
    </xf>
    <xf numFmtId="0" fontId="93" fillId="2" borderId="6" xfId="0" applyFont="1" applyFill="1" applyBorder="1" applyAlignment="1">
      <alignment horizontal="center" vertical="center"/>
    </xf>
    <xf numFmtId="0" fontId="93" fillId="0" borderId="72" xfId="0" applyFont="1" applyBorder="1" applyAlignment="1">
      <alignment horizontal="center" vertical="center" wrapText="1"/>
    </xf>
    <xf numFmtId="0" fontId="93" fillId="0" borderId="19" xfId="0" applyFont="1" applyBorder="1" applyAlignment="1">
      <alignment horizontal="center" vertical="center" wrapText="1"/>
    </xf>
    <xf numFmtId="0" fontId="93" fillId="0" borderId="3" xfId="0" applyFont="1" applyBorder="1" applyAlignment="1">
      <alignment horizontal="center" vertical="center" wrapText="1"/>
    </xf>
    <xf numFmtId="49" fontId="93" fillId="0" borderId="72" xfId="0" applyNumberFormat="1" applyFont="1" applyFill="1" applyBorder="1" applyAlignment="1">
      <alignment horizontal="center" vertical="center" wrapText="1"/>
    </xf>
    <xf numFmtId="49" fontId="93" fillId="0" borderId="19" xfId="0" applyNumberFormat="1" applyFont="1" applyFill="1" applyBorder="1" applyAlignment="1">
      <alignment horizontal="center" vertical="center" wrapText="1"/>
    </xf>
    <xf numFmtId="3" fontId="99" fillId="2" borderId="69" xfId="0" applyNumberFormat="1" applyFont="1" applyFill="1" applyBorder="1" applyAlignment="1">
      <alignment horizontal="right" vertical="center" wrapText="1"/>
    </xf>
    <xf numFmtId="0" fontId="93" fillId="2" borderId="72" xfId="0" applyFont="1" applyFill="1" applyBorder="1" applyAlignment="1">
      <alignment horizontal="center" vertical="center" wrapText="1"/>
    </xf>
    <xf numFmtId="0" fontId="93" fillId="2" borderId="3" xfId="0" applyFont="1" applyFill="1" applyBorder="1" applyAlignment="1">
      <alignment horizontal="center" vertical="center" wrapText="1"/>
    </xf>
    <xf numFmtId="49" fontId="93" fillId="0" borderId="3" xfId="0" applyNumberFormat="1" applyFont="1" applyFill="1" applyBorder="1" applyAlignment="1">
      <alignment horizontal="center" vertical="center" wrapText="1"/>
    </xf>
    <xf numFmtId="49" fontId="93" fillId="3" borderId="72" xfId="0" applyNumberFormat="1" applyFont="1" applyFill="1" applyBorder="1" applyAlignment="1">
      <alignment horizontal="center" vertical="center" wrapText="1"/>
    </xf>
    <xf numFmtId="49" fontId="93" fillId="3" borderId="3" xfId="0" applyNumberFormat="1" applyFont="1" applyFill="1" applyBorder="1" applyAlignment="1">
      <alignment horizontal="center" vertical="center" wrapText="1"/>
    </xf>
    <xf numFmtId="14" fontId="96" fillId="3" borderId="72" xfId="0" applyNumberFormat="1" applyFont="1" applyFill="1" applyBorder="1" applyAlignment="1">
      <alignment horizontal="center" vertical="center"/>
    </xf>
    <xf numFmtId="14" fontId="96" fillId="3" borderId="3" xfId="0" applyNumberFormat="1" applyFont="1" applyFill="1" applyBorder="1" applyAlignment="1">
      <alignment horizontal="center" vertical="center"/>
    </xf>
    <xf numFmtId="4" fontId="93" fillId="3" borderId="72" xfId="0" applyNumberFormat="1" applyFont="1" applyFill="1" applyBorder="1" applyAlignment="1">
      <alignment horizontal="center" vertical="center" wrapText="1"/>
    </xf>
    <xf numFmtId="4" fontId="93" fillId="3" borderId="3" xfId="0" applyNumberFormat="1" applyFont="1" applyFill="1" applyBorder="1" applyAlignment="1">
      <alignment horizontal="center" vertical="center" wrapText="1"/>
    </xf>
    <xf numFmtId="0" fontId="93" fillId="2" borderId="88" xfId="0" applyFont="1" applyFill="1" applyBorder="1" applyAlignment="1">
      <alignment horizontal="center" vertical="center"/>
    </xf>
    <xf numFmtId="0" fontId="93" fillId="2" borderId="5" xfId="0" applyFont="1" applyFill="1" applyBorder="1" applyAlignment="1">
      <alignment horizontal="center" vertical="center"/>
    </xf>
    <xf numFmtId="0" fontId="93" fillId="2" borderId="87" xfId="0" applyFont="1" applyFill="1" applyBorder="1" applyAlignment="1">
      <alignment horizontal="center" vertical="center"/>
    </xf>
    <xf numFmtId="3" fontId="93" fillId="2" borderId="72" xfId="0" applyNumberFormat="1" applyFont="1" applyFill="1" applyBorder="1" applyAlignment="1">
      <alignment horizontal="right" vertical="center" wrapText="1"/>
    </xf>
    <xf numFmtId="3" fontId="93" fillId="2" borderId="3" xfId="0" applyNumberFormat="1" applyFont="1" applyFill="1" applyBorder="1" applyAlignment="1">
      <alignment horizontal="right" vertical="center" wrapText="1"/>
    </xf>
    <xf numFmtId="0" fontId="93" fillId="2" borderId="69" xfId="0" applyFont="1" applyFill="1" applyBorder="1" applyAlignment="1">
      <alignment horizontal="center" vertical="center" wrapText="1"/>
    </xf>
    <xf numFmtId="49" fontId="93" fillId="0" borderId="69" xfId="0" applyNumberFormat="1" applyFont="1" applyFill="1" applyBorder="1" applyAlignment="1">
      <alignment horizontal="center" vertical="center" wrapText="1"/>
    </xf>
    <xf numFmtId="49" fontId="93" fillId="0" borderId="69" xfId="0" applyNumberFormat="1" applyFont="1" applyFill="1" applyBorder="1" applyAlignment="1">
      <alignment horizontal="center" vertical="center"/>
    </xf>
    <xf numFmtId="0" fontId="94" fillId="0" borderId="0" xfId="0" applyFont="1" applyAlignment="1">
      <alignment horizontal="center" vertical="center"/>
    </xf>
    <xf numFmtId="3" fontId="99" fillId="10" borderId="81" xfId="0" applyNumberFormat="1" applyFont="1" applyFill="1" applyBorder="1" applyAlignment="1">
      <alignment horizontal="center" wrapText="1"/>
    </xf>
    <xf numFmtId="3" fontId="99" fillId="10" borderId="82" xfId="0" applyNumberFormat="1" applyFont="1" applyFill="1" applyBorder="1" applyAlignment="1">
      <alignment horizontal="center" wrapText="1"/>
    </xf>
    <xf numFmtId="3" fontId="99" fillId="10" borderId="76" xfId="0" applyNumberFormat="1" applyFont="1" applyFill="1" applyBorder="1" applyAlignment="1">
      <alignment horizontal="center" wrapText="1"/>
    </xf>
    <xf numFmtId="0" fontId="99" fillId="0" borderId="68" xfId="0" applyFont="1" applyBorder="1" applyAlignment="1">
      <alignment horizontal="center" vertical="center" wrapText="1"/>
    </xf>
    <xf numFmtId="0" fontId="99" fillId="0" borderId="69" xfId="0" applyFont="1" applyBorder="1" applyAlignment="1">
      <alignment horizontal="center" vertical="center" wrapText="1"/>
    </xf>
    <xf numFmtId="0" fontId="99" fillId="0" borderId="84" xfId="0" applyFont="1" applyBorder="1" applyAlignment="1">
      <alignment horizontal="center" vertical="center"/>
    </xf>
    <xf numFmtId="0" fontId="99" fillId="0" borderId="85" xfId="0" applyFont="1" applyBorder="1" applyAlignment="1">
      <alignment horizontal="center" vertical="center"/>
    </xf>
    <xf numFmtId="0" fontId="99" fillId="0" borderId="86" xfId="0" applyFont="1" applyBorder="1" applyAlignment="1">
      <alignment horizontal="center" vertical="center"/>
    </xf>
    <xf numFmtId="0" fontId="99" fillId="0" borderId="15" xfId="0" applyFont="1" applyFill="1" applyBorder="1" applyAlignment="1">
      <alignment horizontal="center" vertical="center" wrapText="1"/>
    </xf>
    <xf numFmtId="0" fontId="99" fillId="0" borderId="3" xfId="0" applyFont="1" applyFill="1" applyBorder="1" applyAlignment="1">
      <alignment horizontal="center" vertical="center" wrapText="1"/>
    </xf>
    <xf numFmtId="0" fontId="93" fillId="2" borderId="19" xfId="0" applyFont="1" applyFill="1" applyBorder="1" applyAlignment="1">
      <alignment horizontal="center" vertical="center" wrapText="1"/>
    </xf>
    <xf numFmtId="0" fontId="99" fillId="0" borderId="78" xfId="0" applyFont="1" applyBorder="1" applyAlignment="1">
      <alignment horizontal="center" vertical="center" wrapText="1"/>
    </xf>
    <xf numFmtId="0" fontId="99" fillId="0" borderId="79" xfId="0" applyFont="1" applyBorder="1" applyAlignment="1">
      <alignment horizontal="center" vertical="center" wrapText="1"/>
    </xf>
    <xf numFmtId="49" fontId="99" fillId="0" borderId="15" xfId="0" applyNumberFormat="1" applyFont="1" applyFill="1" applyBorder="1" applyAlignment="1">
      <alignment horizontal="center" vertical="center" wrapText="1"/>
    </xf>
    <xf numFmtId="49" fontId="99" fillId="0" borderId="3" xfId="0" applyNumberFormat="1" applyFont="1" applyFill="1" applyBorder="1" applyAlignment="1">
      <alignment horizontal="center" vertical="center" wrapText="1"/>
    </xf>
    <xf numFmtId="14" fontId="93" fillId="3" borderId="72" xfId="0" applyNumberFormat="1" applyFont="1" applyFill="1" applyBorder="1" applyAlignment="1">
      <alignment horizontal="center" vertical="center"/>
    </xf>
    <xf numFmtId="14" fontId="93" fillId="3" borderId="19" xfId="0" applyNumberFormat="1" applyFont="1" applyFill="1" applyBorder="1" applyAlignment="1">
      <alignment horizontal="center" vertical="center"/>
    </xf>
    <xf numFmtId="14" fontId="93" fillId="3" borderId="3" xfId="0" applyNumberFormat="1" applyFont="1" applyFill="1" applyBorder="1" applyAlignment="1">
      <alignment horizontal="center" vertical="center"/>
    </xf>
    <xf numFmtId="4" fontId="93" fillId="0" borderId="19" xfId="0" applyNumberFormat="1" applyFont="1" applyFill="1" applyBorder="1" applyAlignment="1">
      <alignment horizontal="center" vertical="center" wrapText="1"/>
    </xf>
    <xf numFmtId="4" fontId="93" fillId="0" borderId="3" xfId="0" applyNumberFormat="1" applyFont="1" applyFill="1" applyBorder="1" applyAlignment="1">
      <alignment horizontal="center" vertical="center" wrapText="1"/>
    </xf>
    <xf numFmtId="0" fontId="99" fillId="10" borderId="75" xfId="0" applyFont="1" applyFill="1" applyBorder="1" applyAlignment="1">
      <alignment horizontal="center" wrapText="1"/>
    </xf>
    <xf numFmtId="0" fontId="99" fillId="10" borderId="76" xfId="0" applyFont="1" applyFill="1" applyBorder="1" applyAlignment="1">
      <alignment horizontal="center" wrapText="1"/>
    </xf>
    <xf numFmtId="0" fontId="99" fillId="0" borderId="13" xfId="0" applyFont="1" applyBorder="1" applyAlignment="1">
      <alignment horizontal="center" vertical="center" wrapText="1"/>
    </xf>
    <xf numFmtId="0" fontId="99" fillId="0" borderId="80" xfId="0" applyFont="1" applyBorder="1" applyAlignment="1">
      <alignment horizontal="center" vertical="center" wrapText="1"/>
    </xf>
    <xf numFmtId="0" fontId="99" fillId="0" borderId="5" xfId="0" applyFont="1" applyBorder="1" applyAlignment="1">
      <alignment horizontal="center" vertical="center" wrapText="1"/>
    </xf>
    <xf numFmtId="0" fontId="99" fillId="39" borderId="77" xfId="0" applyFont="1" applyFill="1" applyBorder="1" applyAlignment="1">
      <alignment horizontal="center" wrapText="1"/>
    </xf>
    <xf numFmtId="0" fontId="99" fillId="39" borderId="73" xfId="0" applyFont="1" applyFill="1" applyBorder="1" applyAlignment="1">
      <alignment horizontal="center" wrapText="1"/>
    </xf>
    <xf numFmtId="0" fontId="93" fillId="2" borderId="70" xfId="0" applyFont="1" applyFill="1" applyBorder="1" applyAlignment="1">
      <alignment horizontal="center" vertical="center"/>
    </xf>
    <xf numFmtId="0" fontId="93" fillId="2" borderId="72" xfId="0" applyFont="1" applyFill="1" applyBorder="1" applyAlignment="1">
      <alignment horizontal="left" vertical="center" wrapText="1"/>
    </xf>
    <xf numFmtId="0" fontId="93" fillId="2" borderId="3" xfId="0" applyFont="1" applyFill="1" applyBorder="1" applyAlignment="1">
      <alignment horizontal="left" vertical="center" wrapText="1"/>
    </xf>
    <xf numFmtId="0" fontId="93" fillId="2" borderId="69" xfId="0" applyFont="1" applyFill="1" applyBorder="1" applyAlignment="1">
      <alignment horizontal="left" vertical="center" wrapText="1"/>
    </xf>
    <xf numFmtId="0" fontId="101" fillId="0" borderId="84" xfId="0" applyFont="1" applyBorder="1" applyAlignment="1">
      <alignment horizontal="center"/>
    </xf>
    <xf numFmtId="0" fontId="101" fillId="0" borderId="85" xfId="0" applyFont="1" applyBorder="1" applyAlignment="1">
      <alignment horizontal="center"/>
    </xf>
    <xf numFmtId="0" fontId="101" fillId="0" borderId="86" xfId="0" applyFont="1" applyBorder="1" applyAlignment="1">
      <alignment horizontal="center"/>
    </xf>
    <xf numFmtId="14" fontId="93" fillId="0" borderId="72" xfId="0" applyNumberFormat="1" applyFont="1" applyFill="1" applyBorder="1" applyAlignment="1">
      <alignment horizontal="center" vertical="center" wrapText="1"/>
    </xf>
    <xf numFmtId="14" fontId="93" fillId="0" borderId="19" xfId="0" applyNumberFormat="1" applyFont="1" applyFill="1" applyBorder="1" applyAlignment="1">
      <alignment horizontal="center" vertical="center" wrapText="1"/>
    </xf>
    <xf numFmtId="4" fontId="93" fillId="0" borderId="72" xfId="0" applyNumberFormat="1" applyFont="1" applyFill="1" applyBorder="1" applyAlignment="1">
      <alignment horizontal="center" vertical="center" wrapText="1"/>
    </xf>
    <xf numFmtId="4" fontId="103" fillId="0" borderId="19" xfId="230" applyNumberFormat="1" applyFont="1" applyFill="1" applyBorder="1" applyAlignment="1">
      <alignment horizontal="center" vertical="center" wrapText="1"/>
    </xf>
    <xf numFmtId="0" fontId="98" fillId="0" borderId="78" xfId="0" applyFont="1" applyFill="1" applyBorder="1" applyAlignment="1">
      <alignment horizontal="center" vertical="center" wrapText="1"/>
    </xf>
    <xf numFmtId="0" fontId="98" fillId="0" borderId="79" xfId="0" applyFont="1" applyFill="1" applyBorder="1" applyAlignment="1">
      <alignment horizontal="center" vertical="center" wrapText="1"/>
    </xf>
    <xf numFmtId="3" fontId="93" fillId="2" borderId="72" xfId="0" applyNumberFormat="1" applyFont="1" applyFill="1" applyBorder="1" applyAlignment="1">
      <alignment horizontal="center" vertical="center"/>
    </xf>
    <xf numFmtId="3" fontId="93" fillId="2" borderId="19" xfId="0" applyNumberFormat="1" applyFont="1" applyFill="1" applyBorder="1" applyAlignment="1">
      <alignment horizontal="center" vertical="center"/>
    </xf>
    <xf numFmtId="3" fontId="93" fillId="2" borderId="3" xfId="0" applyNumberFormat="1" applyFont="1" applyFill="1" applyBorder="1" applyAlignment="1">
      <alignment horizontal="center" vertical="center"/>
    </xf>
    <xf numFmtId="169" fontId="93" fillId="0" borderId="19" xfId="0" applyNumberFormat="1" applyFont="1" applyBorder="1" applyAlignment="1">
      <alignment horizontal="center" vertical="center"/>
    </xf>
    <xf numFmtId="14" fontId="93" fillId="0" borderId="72" xfId="0" applyNumberFormat="1" applyFont="1" applyFill="1" applyBorder="1" applyAlignment="1">
      <alignment horizontal="center" vertical="center"/>
    </xf>
    <xf numFmtId="14" fontId="93" fillId="0" borderId="19" xfId="0" applyNumberFormat="1" applyFont="1" applyFill="1" applyBorder="1" applyAlignment="1">
      <alignment horizontal="center" vertical="center"/>
    </xf>
    <xf numFmtId="14" fontId="93" fillId="0" borderId="3" xfId="0" applyNumberFormat="1" applyFont="1" applyFill="1" applyBorder="1" applyAlignment="1">
      <alignment horizontal="center" vertical="center"/>
    </xf>
    <xf numFmtId="0" fontId="93" fillId="2" borderId="69" xfId="0" applyFont="1" applyFill="1" applyBorder="1" applyAlignment="1">
      <alignment horizontal="center" vertical="center"/>
    </xf>
    <xf numFmtId="167" fontId="93" fillId="2" borderId="72" xfId="0" applyNumberFormat="1" applyFont="1" applyFill="1" applyBorder="1" applyAlignment="1">
      <alignment horizontal="center" vertical="center"/>
    </xf>
    <xf numFmtId="167" fontId="93" fillId="2" borderId="19" xfId="0" applyNumberFormat="1" applyFont="1" applyFill="1" applyBorder="1" applyAlignment="1">
      <alignment horizontal="center" vertical="center"/>
    </xf>
    <xf numFmtId="167" fontId="93" fillId="2" borderId="3" xfId="0" applyNumberFormat="1" applyFont="1" applyFill="1" applyBorder="1" applyAlignment="1">
      <alignment horizontal="center" vertical="center"/>
    </xf>
    <xf numFmtId="0" fontId="93" fillId="2" borderId="19" xfId="0" applyFont="1" applyFill="1" applyBorder="1" applyAlignment="1">
      <alignment horizontal="center" vertical="center"/>
    </xf>
    <xf numFmtId="164" fontId="93" fillId="0" borderId="19" xfId="225" applyFont="1" applyBorder="1" applyAlignment="1">
      <alignment horizontal="center" vertical="center"/>
    </xf>
    <xf numFmtId="4" fontId="93" fillId="3" borderId="19" xfId="0" applyNumberFormat="1" applyFont="1" applyFill="1" applyBorder="1" applyAlignment="1">
      <alignment horizontal="center" vertical="center" wrapText="1"/>
    </xf>
    <xf numFmtId="164" fontId="93" fillId="0" borderId="72" xfId="225" applyFont="1" applyBorder="1" applyAlignment="1">
      <alignment horizontal="center" vertical="center" wrapText="1"/>
    </xf>
    <xf numFmtId="164" fontId="93" fillId="0" borderId="19" xfId="225" applyFont="1" applyBorder="1" applyAlignment="1">
      <alignment horizontal="center" vertical="center" wrapText="1"/>
    </xf>
    <xf numFmtId="164" fontId="93" fillId="0" borderId="3" xfId="225" applyFont="1" applyBorder="1" applyAlignment="1">
      <alignment horizontal="center" vertical="center" wrapText="1"/>
    </xf>
    <xf numFmtId="3" fontId="93" fillId="2" borderId="69" xfId="0" applyNumberFormat="1" applyFont="1" applyFill="1" applyBorder="1" applyAlignment="1">
      <alignment horizontal="center" vertical="center"/>
    </xf>
    <xf numFmtId="3" fontId="93" fillId="0" borderId="72" xfId="225" applyNumberFormat="1" applyFont="1" applyBorder="1" applyAlignment="1">
      <alignment horizontal="center" vertical="center" wrapText="1"/>
    </xf>
    <xf numFmtId="3" fontId="93" fillId="0" borderId="19" xfId="225" applyNumberFormat="1" applyFont="1" applyBorder="1" applyAlignment="1">
      <alignment horizontal="center" vertical="center" wrapText="1"/>
    </xf>
    <xf numFmtId="3" fontId="93" fillId="0" borderId="3" xfId="225" applyNumberFormat="1" applyFont="1" applyBorder="1" applyAlignment="1">
      <alignment horizontal="center" vertical="center" wrapText="1"/>
    </xf>
  </cellXfs>
  <cellStyles count="231">
    <cellStyle name="_1.1" xfId="36" xr:uid="{00000000-0005-0000-0000-000000000000}"/>
    <cellStyle name="_2.1" xfId="37" xr:uid="{00000000-0005-0000-0000-000001000000}"/>
    <cellStyle name="_an.3 - CF contr 31.12.2010" xfId="38" xr:uid="{00000000-0005-0000-0000-000002000000}"/>
    <cellStyle name="_an.5 - CF estim.sapt.urmat.rap." xfId="39" xr:uid="{00000000-0005-0000-0000-000003000000}"/>
    <cellStyle name="_an.5 - CF sapt.curenta" xfId="40" xr:uid="{00000000-0005-0000-0000-000004000000}"/>
    <cellStyle name="_an.6 - CF estim.sapt.urmat.rap." xfId="41" xr:uid="{00000000-0005-0000-0000-000005000000}"/>
    <cellStyle name="_Anexa 2" xfId="42" xr:uid="{00000000-0005-0000-0000-000006000000}"/>
    <cellStyle name="_Anexa 3" xfId="43" xr:uid="{00000000-0005-0000-0000-000007000000}"/>
    <cellStyle name="_Finalizate" xfId="44" xr:uid="{00000000-0005-0000-0000-000008000000}"/>
    <cellStyle name="_POR" xfId="45" xr:uid="{00000000-0005-0000-0000-000009000000}"/>
    <cellStyle name="_Sheet1" xfId="46" xr:uid="{00000000-0005-0000-0000-00000A000000}"/>
    <cellStyle name="_Sheet2" xfId="47" xr:uid="{00000000-0005-0000-0000-00000B000000}"/>
    <cellStyle name="20% - Accent1 2" xfId="48" xr:uid="{00000000-0005-0000-0000-00000C000000}"/>
    <cellStyle name="20% - Accent1 3" xfId="49" xr:uid="{00000000-0005-0000-0000-00000D000000}"/>
    <cellStyle name="20% - Accent2 2" xfId="50" xr:uid="{00000000-0005-0000-0000-00000E000000}"/>
    <cellStyle name="20% - Accent2 3" xfId="51" xr:uid="{00000000-0005-0000-0000-00000F000000}"/>
    <cellStyle name="20% - Accent3 2" xfId="52" xr:uid="{00000000-0005-0000-0000-000010000000}"/>
    <cellStyle name="20% - Accent3 3" xfId="53" xr:uid="{00000000-0005-0000-0000-000011000000}"/>
    <cellStyle name="20% - Accent4 2" xfId="54" xr:uid="{00000000-0005-0000-0000-000012000000}"/>
    <cellStyle name="20% - Accent4 3" xfId="55" xr:uid="{00000000-0005-0000-0000-000013000000}"/>
    <cellStyle name="20% - Accent5 2" xfId="56" xr:uid="{00000000-0005-0000-0000-000014000000}"/>
    <cellStyle name="20% - Accent5 3" xfId="57" xr:uid="{00000000-0005-0000-0000-000015000000}"/>
    <cellStyle name="20% - Accent6 2" xfId="58" xr:uid="{00000000-0005-0000-0000-000016000000}"/>
    <cellStyle name="20% - Accent6 3" xfId="59" xr:uid="{00000000-0005-0000-0000-000017000000}"/>
    <cellStyle name="40% - Accent1 2" xfId="60" xr:uid="{00000000-0005-0000-0000-000018000000}"/>
    <cellStyle name="40% - Accent1 3" xfId="61" xr:uid="{00000000-0005-0000-0000-000019000000}"/>
    <cellStyle name="40% - Accent2 2" xfId="62" xr:uid="{00000000-0005-0000-0000-00001A000000}"/>
    <cellStyle name="40% - Accent2 3" xfId="63" xr:uid="{00000000-0005-0000-0000-00001B000000}"/>
    <cellStyle name="40% - Accent3 2" xfId="64" xr:uid="{00000000-0005-0000-0000-00001C000000}"/>
    <cellStyle name="40% - Accent3 3" xfId="65" xr:uid="{00000000-0005-0000-0000-00001D000000}"/>
    <cellStyle name="40% - Accent4 2" xfId="66" xr:uid="{00000000-0005-0000-0000-00001E000000}"/>
    <cellStyle name="40% - Accent4 3" xfId="67" xr:uid="{00000000-0005-0000-0000-00001F000000}"/>
    <cellStyle name="40% - Accent5 2" xfId="68" xr:uid="{00000000-0005-0000-0000-000020000000}"/>
    <cellStyle name="40% - Accent5 3" xfId="69" xr:uid="{00000000-0005-0000-0000-000021000000}"/>
    <cellStyle name="40% - Accent6 2" xfId="70" xr:uid="{00000000-0005-0000-0000-000022000000}"/>
    <cellStyle name="40% - Accent6 3" xfId="71" xr:uid="{00000000-0005-0000-0000-000023000000}"/>
    <cellStyle name="60% - Accent1 2" xfId="72" xr:uid="{00000000-0005-0000-0000-000024000000}"/>
    <cellStyle name="60% - Accent1 3" xfId="73" xr:uid="{00000000-0005-0000-0000-000025000000}"/>
    <cellStyle name="60% - Accent2 2" xfId="74" xr:uid="{00000000-0005-0000-0000-000026000000}"/>
    <cellStyle name="60% - Accent2 3" xfId="75" xr:uid="{00000000-0005-0000-0000-000027000000}"/>
    <cellStyle name="60% - Accent3 2" xfId="76" xr:uid="{00000000-0005-0000-0000-000028000000}"/>
    <cellStyle name="60% - Accent3 3" xfId="77" xr:uid="{00000000-0005-0000-0000-000029000000}"/>
    <cellStyle name="60% - Accent4 2" xfId="78" xr:uid="{00000000-0005-0000-0000-00002A000000}"/>
    <cellStyle name="60% - Accent4 3" xfId="79" xr:uid="{00000000-0005-0000-0000-00002B000000}"/>
    <cellStyle name="60% - Accent5 2" xfId="80" xr:uid="{00000000-0005-0000-0000-00002C000000}"/>
    <cellStyle name="60% - Accent5 3" xfId="81" xr:uid="{00000000-0005-0000-0000-00002D000000}"/>
    <cellStyle name="60% - Accent6 2" xfId="82" xr:uid="{00000000-0005-0000-0000-00002E000000}"/>
    <cellStyle name="60% - Accent6 3" xfId="83" xr:uid="{00000000-0005-0000-0000-00002F000000}"/>
    <cellStyle name="Accent1 2" xfId="84" xr:uid="{00000000-0005-0000-0000-000030000000}"/>
    <cellStyle name="Accent1 3" xfId="85" xr:uid="{00000000-0005-0000-0000-000031000000}"/>
    <cellStyle name="Accent2 2" xfId="86" xr:uid="{00000000-0005-0000-0000-000032000000}"/>
    <cellStyle name="Accent2 3" xfId="87" xr:uid="{00000000-0005-0000-0000-000033000000}"/>
    <cellStyle name="Accent3 2" xfId="88" xr:uid="{00000000-0005-0000-0000-000034000000}"/>
    <cellStyle name="Accent3 3" xfId="89" xr:uid="{00000000-0005-0000-0000-000035000000}"/>
    <cellStyle name="Accent4 2" xfId="90" xr:uid="{00000000-0005-0000-0000-000036000000}"/>
    <cellStyle name="Accent4 3" xfId="91" xr:uid="{00000000-0005-0000-0000-000037000000}"/>
    <cellStyle name="Accent5 2" xfId="92" xr:uid="{00000000-0005-0000-0000-000038000000}"/>
    <cellStyle name="Accent5 3" xfId="93" xr:uid="{00000000-0005-0000-0000-000039000000}"/>
    <cellStyle name="Accent6 2" xfId="94" xr:uid="{00000000-0005-0000-0000-00003A000000}"/>
    <cellStyle name="Accent6 3" xfId="95" xr:uid="{00000000-0005-0000-0000-00003B000000}"/>
    <cellStyle name="Bad 2" xfId="96" xr:uid="{00000000-0005-0000-0000-00003C000000}"/>
    <cellStyle name="Bad 3" xfId="97" xr:uid="{00000000-0005-0000-0000-00003D000000}"/>
    <cellStyle name="Bun" xfId="98" xr:uid="{00000000-0005-0000-0000-00003E000000}"/>
    <cellStyle name="Calcul" xfId="99" xr:uid="{00000000-0005-0000-0000-00003F000000}"/>
    <cellStyle name="Calculation 2" xfId="100" xr:uid="{00000000-0005-0000-0000-000040000000}"/>
    <cellStyle name="Calculation 3" xfId="101" xr:uid="{00000000-0005-0000-0000-000041000000}"/>
    <cellStyle name="Celulă legată" xfId="102" xr:uid="{00000000-0005-0000-0000-000042000000}"/>
    <cellStyle name="Check Cell 2" xfId="103" xr:uid="{00000000-0005-0000-0000-000043000000}"/>
    <cellStyle name="Check Cell 3" xfId="104" xr:uid="{00000000-0005-0000-0000-000044000000}"/>
    <cellStyle name="Comma" xfId="225" builtinId="3"/>
    <cellStyle name="Comma 10" xfId="105" xr:uid="{00000000-0005-0000-0000-000046000000}"/>
    <cellStyle name="Comma 11" xfId="106" xr:uid="{00000000-0005-0000-0000-000047000000}"/>
    <cellStyle name="Comma 12" xfId="107" xr:uid="{00000000-0005-0000-0000-000048000000}"/>
    <cellStyle name="Comma 13" xfId="108" xr:uid="{00000000-0005-0000-0000-000049000000}"/>
    <cellStyle name="Comma 14" xfId="109" xr:uid="{00000000-0005-0000-0000-00004A000000}"/>
    <cellStyle name="Comma 15" xfId="110" xr:uid="{00000000-0005-0000-0000-00004B000000}"/>
    <cellStyle name="Comma 16" xfId="111" xr:uid="{00000000-0005-0000-0000-00004C000000}"/>
    <cellStyle name="Comma 17" xfId="112" xr:uid="{00000000-0005-0000-0000-00004D000000}"/>
    <cellStyle name="Comma 18" xfId="113" xr:uid="{00000000-0005-0000-0000-00004E000000}"/>
    <cellStyle name="Comma 19" xfId="114" xr:uid="{00000000-0005-0000-0000-00004F000000}"/>
    <cellStyle name="Comma 2" xfId="115" xr:uid="{00000000-0005-0000-0000-000050000000}"/>
    <cellStyle name="Comma 2 2" xfId="116" xr:uid="{00000000-0005-0000-0000-000051000000}"/>
    <cellStyle name="Comma 2 3" xfId="117" xr:uid="{00000000-0005-0000-0000-000052000000}"/>
    <cellStyle name="Comma 20" xfId="118" xr:uid="{00000000-0005-0000-0000-000053000000}"/>
    <cellStyle name="Comma 21" xfId="119" xr:uid="{00000000-0005-0000-0000-000054000000}"/>
    <cellStyle name="Comma 22" xfId="120" xr:uid="{00000000-0005-0000-0000-000055000000}"/>
    <cellStyle name="Comma 3" xfId="121" xr:uid="{00000000-0005-0000-0000-000056000000}"/>
    <cellStyle name="Comma 3 2" xfId="122" xr:uid="{00000000-0005-0000-0000-000057000000}"/>
    <cellStyle name="Comma 4" xfId="123" xr:uid="{00000000-0005-0000-0000-000058000000}"/>
    <cellStyle name="Comma 4 2" xfId="124" xr:uid="{00000000-0005-0000-0000-000059000000}"/>
    <cellStyle name="Comma 5" xfId="125" xr:uid="{00000000-0005-0000-0000-00005A000000}"/>
    <cellStyle name="Comma 5 2" xfId="126" xr:uid="{00000000-0005-0000-0000-00005B000000}"/>
    <cellStyle name="Comma 6" xfId="127" xr:uid="{00000000-0005-0000-0000-00005C000000}"/>
    <cellStyle name="Comma 7" xfId="128" xr:uid="{00000000-0005-0000-0000-00005D000000}"/>
    <cellStyle name="Comma 8" xfId="129" xr:uid="{00000000-0005-0000-0000-00005E000000}"/>
    <cellStyle name="Comma 9" xfId="130" xr:uid="{00000000-0005-0000-0000-00005F000000}"/>
    <cellStyle name="Eronat" xfId="131" xr:uid="{00000000-0005-0000-0000-000060000000}"/>
    <cellStyle name="Explanatory Text 2" xfId="132" xr:uid="{00000000-0005-0000-0000-000061000000}"/>
    <cellStyle name="Explanatory Text 3" xfId="133" xr:uid="{00000000-0005-0000-0000-00006200000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Good 2" xfId="134" xr:uid="{00000000-0005-0000-0000-000074000000}"/>
    <cellStyle name="Good 2 2" xfId="135" xr:uid="{00000000-0005-0000-0000-000075000000}"/>
    <cellStyle name="Good 3" xfId="136" xr:uid="{00000000-0005-0000-0000-000076000000}"/>
    <cellStyle name="Good 4" xfId="137" xr:uid="{00000000-0005-0000-0000-000077000000}"/>
    <cellStyle name="Heading 1 2" xfId="138" xr:uid="{00000000-0005-0000-0000-000078000000}"/>
    <cellStyle name="Heading 1 3" xfId="139" xr:uid="{00000000-0005-0000-0000-000079000000}"/>
    <cellStyle name="Heading 2 2" xfId="140" xr:uid="{00000000-0005-0000-0000-00007A000000}"/>
    <cellStyle name="Heading 2 3" xfId="141" xr:uid="{00000000-0005-0000-0000-00007B000000}"/>
    <cellStyle name="Heading 3 2" xfId="142" xr:uid="{00000000-0005-0000-0000-00007C000000}"/>
    <cellStyle name="Heading 3 3" xfId="143" xr:uid="{00000000-0005-0000-0000-00007D000000}"/>
    <cellStyle name="Heading 4 2" xfId="144" xr:uid="{00000000-0005-0000-0000-00007E000000}"/>
    <cellStyle name="Heading 4 3" xfId="145" xr:uid="{00000000-0005-0000-0000-00007F000000}"/>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230" builtinId="8"/>
    <cellStyle name="Hyperlink 2" xfId="146" xr:uid="{00000000-0005-0000-0000-000092000000}"/>
    <cellStyle name="Hyperlink 2 2" xfId="147" xr:uid="{00000000-0005-0000-0000-000093000000}"/>
    <cellStyle name="Hyperlink 2_Anexa 2" xfId="148" xr:uid="{00000000-0005-0000-0000-000094000000}"/>
    <cellStyle name="Ieșire" xfId="149" xr:uid="{00000000-0005-0000-0000-000095000000}"/>
    <cellStyle name="Input 2" xfId="150" xr:uid="{00000000-0005-0000-0000-000096000000}"/>
    <cellStyle name="Input 3" xfId="151" xr:uid="{00000000-0005-0000-0000-000097000000}"/>
    <cellStyle name="Intrare" xfId="152" xr:uid="{00000000-0005-0000-0000-000098000000}"/>
    <cellStyle name="Linked Cell 2" xfId="153" xr:uid="{00000000-0005-0000-0000-000099000000}"/>
    <cellStyle name="Linked Cell 3" xfId="154" xr:uid="{00000000-0005-0000-0000-00009A000000}"/>
    <cellStyle name="Neutral 2" xfId="155" xr:uid="{00000000-0005-0000-0000-00009B000000}"/>
    <cellStyle name="Neutral 3" xfId="156" xr:uid="{00000000-0005-0000-0000-00009C000000}"/>
    <cellStyle name="Neutru" xfId="157" xr:uid="{00000000-0005-0000-0000-00009D000000}"/>
    <cellStyle name="Normal" xfId="0" builtinId="0"/>
    <cellStyle name="Normal 10" xfId="158" xr:uid="{00000000-0005-0000-0000-00009F000000}"/>
    <cellStyle name="Normal 11" xfId="159" xr:uid="{00000000-0005-0000-0000-0000A0000000}"/>
    <cellStyle name="Normal 12" xfId="160" xr:uid="{00000000-0005-0000-0000-0000A1000000}"/>
    <cellStyle name="Normal 13" xfId="161" xr:uid="{00000000-0005-0000-0000-0000A2000000}"/>
    <cellStyle name="Normal 14" xfId="162" xr:uid="{00000000-0005-0000-0000-0000A3000000}"/>
    <cellStyle name="Normal 15" xfId="163" xr:uid="{00000000-0005-0000-0000-0000A4000000}"/>
    <cellStyle name="Normal 16" xfId="164" xr:uid="{00000000-0005-0000-0000-0000A5000000}"/>
    <cellStyle name="Normal 17" xfId="165" xr:uid="{00000000-0005-0000-0000-0000A6000000}"/>
    <cellStyle name="Normal 18" xfId="166" xr:uid="{00000000-0005-0000-0000-0000A7000000}"/>
    <cellStyle name="Normal 19" xfId="167" xr:uid="{00000000-0005-0000-0000-0000A8000000}"/>
    <cellStyle name="Normal 2" xfId="168" xr:uid="{00000000-0005-0000-0000-0000A9000000}"/>
    <cellStyle name="Normal 2 2" xfId="169" xr:uid="{00000000-0005-0000-0000-0000AA000000}"/>
    <cellStyle name="Normal 2 2 2" xfId="170" xr:uid="{00000000-0005-0000-0000-0000AB000000}"/>
    <cellStyle name="Normal 2 3 5" xfId="228" xr:uid="{00000000-0005-0000-0000-0000AC000000}"/>
    <cellStyle name="Normal 2_10 feb 2012 vs 31 ian 2012" xfId="171" xr:uid="{00000000-0005-0000-0000-0000AD000000}"/>
    <cellStyle name="Normal 20" xfId="172" xr:uid="{00000000-0005-0000-0000-0000AE000000}"/>
    <cellStyle name="Normal 21" xfId="173" xr:uid="{00000000-0005-0000-0000-0000AF000000}"/>
    <cellStyle name="Normal 22" xfId="174" xr:uid="{00000000-0005-0000-0000-0000B0000000}"/>
    <cellStyle name="Normal 23" xfId="175" xr:uid="{00000000-0005-0000-0000-0000B1000000}"/>
    <cellStyle name="Normal 24" xfId="176" xr:uid="{00000000-0005-0000-0000-0000B2000000}"/>
    <cellStyle name="Normal 25" xfId="177" xr:uid="{00000000-0005-0000-0000-0000B3000000}"/>
    <cellStyle name="Normal 26 2" xfId="229" xr:uid="{00000000-0005-0000-0000-0000B4000000}"/>
    <cellStyle name="Normal 3" xfId="178" xr:uid="{00000000-0005-0000-0000-0000B5000000}"/>
    <cellStyle name="Normal 3 2" xfId="179" xr:uid="{00000000-0005-0000-0000-0000B6000000}"/>
    <cellStyle name="Normal 3 3" xfId="180" xr:uid="{00000000-0005-0000-0000-0000B7000000}"/>
    <cellStyle name="Normal 30" xfId="227" xr:uid="{00000000-0005-0000-0000-0000B8000000}"/>
    <cellStyle name="Normal 30 2" xfId="226" xr:uid="{00000000-0005-0000-0000-0000B9000000}"/>
    <cellStyle name="Normal 4" xfId="181" xr:uid="{00000000-0005-0000-0000-0000BA000000}"/>
    <cellStyle name="Normal 4 2" xfId="182" xr:uid="{00000000-0005-0000-0000-0000BB000000}"/>
    <cellStyle name="Normal 5" xfId="183" xr:uid="{00000000-0005-0000-0000-0000BC000000}"/>
    <cellStyle name="Normal 5 2" xfId="184" xr:uid="{00000000-0005-0000-0000-0000BD000000}"/>
    <cellStyle name="Normal 5 3" xfId="185" xr:uid="{00000000-0005-0000-0000-0000BE000000}"/>
    <cellStyle name="Normal 6" xfId="186" xr:uid="{00000000-0005-0000-0000-0000BF000000}"/>
    <cellStyle name="Normal 6 2" xfId="187" xr:uid="{00000000-0005-0000-0000-0000C0000000}"/>
    <cellStyle name="Normal 7" xfId="188" xr:uid="{00000000-0005-0000-0000-0000C1000000}"/>
    <cellStyle name="Normal 8" xfId="189" xr:uid="{00000000-0005-0000-0000-0000C2000000}"/>
    <cellStyle name="Normal 8 2" xfId="190" xr:uid="{00000000-0005-0000-0000-0000C3000000}"/>
    <cellStyle name="Normal 9" xfId="191" xr:uid="{00000000-0005-0000-0000-0000C4000000}"/>
    <cellStyle name="Normal_Anexa 2 AMPOSDRU 30 aprilie 2009" xfId="35" xr:uid="{00000000-0005-0000-0000-0000C5000000}"/>
    <cellStyle name="Notă" xfId="192" xr:uid="{00000000-0005-0000-0000-0000C6000000}"/>
    <cellStyle name="Notă 2" xfId="193" xr:uid="{00000000-0005-0000-0000-0000C7000000}"/>
    <cellStyle name="Note 2" xfId="194" xr:uid="{00000000-0005-0000-0000-0000C8000000}"/>
    <cellStyle name="Note 2 2" xfId="195" xr:uid="{00000000-0005-0000-0000-0000C9000000}"/>
    <cellStyle name="Note 3" xfId="196" xr:uid="{00000000-0005-0000-0000-0000CA000000}"/>
    <cellStyle name="Note 3 2" xfId="197" xr:uid="{00000000-0005-0000-0000-0000CB000000}"/>
    <cellStyle name="Note 4" xfId="198" xr:uid="{00000000-0005-0000-0000-0000CC000000}"/>
    <cellStyle name="Note 5" xfId="199" xr:uid="{00000000-0005-0000-0000-0000CD000000}"/>
    <cellStyle name="Note 6" xfId="200" xr:uid="{00000000-0005-0000-0000-0000CE000000}"/>
    <cellStyle name="Output 2" xfId="201" xr:uid="{00000000-0005-0000-0000-0000CF000000}"/>
    <cellStyle name="Output 3" xfId="202" xr:uid="{00000000-0005-0000-0000-0000D0000000}"/>
    <cellStyle name="Percent 2" xfId="203" xr:uid="{00000000-0005-0000-0000-0000D1000000}"/>
    <cellStyle name="Percent 2 2" xfId="204" xr:uid="{00000000-0005-0000-0000-0000D2000000}"/>
    <cellStyle name="Percent 3" xfId="205" xr:uid="{00000000-0005-0000-0000-0000D3000000}"/>
    <cellStyle name="Percent 4" xfId="206" xr:uid="{00000000-0005-0000-0000-0000D4000000}"/>
    <cellStyle name="Percent 5" xfId="207" xr:uid="{00000000-0005-0000-0000-0000D5000000}"/>
    <cellStyle name="Percent 6" xfId="208" xr:uid="{00000000-0005-0000-0000-0000D6000000}"/>
    <cellStyle name="Style 1" xfId="209" xr:uid="{00000000-0005-0000-0000-0000D7000000}"/>
    <cellStyle name="Style 1 2" xfId="210" xr:uid="{00000000-0005-0000-0000-0000D8000000}"/>
    <cellStyle name="Text avertisment" xfId="211" xr:uid="{00000000-0005-0000-0000-0000D9000000}"/>
    <cellStyle name="Text explicativ" xfId="212" xr:uid="{00000000-0005-0000-0000-0000DA000000}"/>
    <cellStyle name="Title 2" xfId="213" xr:uid="{00000000-0005-0000-0000-0000DB000000}"/>
    <cellStyle name="Title 3" xfId="214" xr:uid="{00000000-0005-0000-0000-0000DC000000}"/>
    <cellStyle name="Titlu" xfId="215" xr:uid="{00000000-0005-0000-0000-0000DD000000}"/>
    <cellStyle name="Titlu 1" xfId="216" xr:uid="{00000000-0005-0000-0000-0000DE000000}"/>
    <cellStyle name="Titlu 2" xfId="217" xr:uid="{00000000-0005-0000-0000-0000DF000000}"/>
    <cellStyle name="Titlu 3" xfId="218" xr:uid="{00000000-0005-0000-0000-0000E0000000}"/>
    <cellStyle name="Titlu 4" xfId="219" xr:uid="{00000000-0005-0000-0000-0000E1000000}"/>
    <cellStyle name="Total 2" xfId="220" xr:uid="{00000000-0005-0000-0000-0000E2000000}"/>
    <cellStyle name="Total 3" xfId="221" xr:uid="{00000000-0005-0000-0000-0000E3000000}"/>
    <cellStyle name="Verificare celulă" xfId="222" xr:uid="{00000000-0005-0000-0000-0000E4000000}"/>
    <cellStyle name="Warning Text 2" xfId="223" xr:uid="{00000000-0005-0000-0000-0000E5000000}"/>
    <cellStyle name="Warning Text 3" xfId="224" xr:uid="{00000000-0005-0000-0000-0000E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talingheran\Downloads\Financial%20Plan_LIOP_com_working%20sheets_29%20June%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mate change"/>
      <sheetName val="Alocare Neta POIM"/>
      <sheetName val="Tabel 2_sinteza"/>
      <sheetName val="Tabel 2_balanta"/>
      <sheetName val="Table 17 rev"/>
      <sheetName val="Table 17"/>
      <sheetName val="Tabel 18a"/>
      <sheetName val="Tabel 18c"/>
      <sheetName val="Indicatori"/>
      <sheetName val="Table 7-11, 19"/>
      <sheetName val="Buget MPGTvs POIM"/>
      <sheetName val="Proiecte MT"/>
      <sheetName val="Proiecte transport POIM"/>
      <sheetName val="Proiecte Mediu"/>
      <sheetName val="Tabel 18a ghid"/>
      <sheetName val="Sheet4"/>
      <sheetName val="Sheet2"/>
    </sheetNames>
    <sheetDataSet>
      <sheetData sheetId="0"/>
      <sheetData sheetId="1">
        <row r="4">
          <cell r="J4">
            <v>270000000</v>
          </cell>
          <cell r="N4">
            <v>287234042</v>
          </cell>
          <cell r="O4">
            <v>47647061</v>
          </cell>
          <cell r="Q4">
            <v>50688362</v>
          </cell>
          <cell r="W4">
            <v>150000000</v>
          </cell>
          <cell r="AA4">
            <v>159574468</v>
          </cell>
          <cell r="AC4">
            <v>26470588</v>
          </cell>
          <cell r="AF4">
            <v>28160200</v>
          </cell>
        </row>
        <row r="5">
          <cell r="W5">
            <v>450000000</v>
          </cell>
          <cell r="AA5">
            <v>478723404</v>
          </cell>
          <cell r="AC5">
            <v>79411765</v>
          </cell>
          <cell r="AF5">
            <v>84480601</v>
          </cell>
        </row>
        <row r="6">
          <cell r="J6">
            <v>400000000</v>
          </cell>
          <cell r="N6">
            <v>425531915</v>
          </cell>
          <cell r="O6">
            <v>70588236</v>
          </cell>
          <cell r="Q6">
            <v>75093869</v>
          </cell>
          <cell r="W6">
            <v>2718897158</v>
          </cell>
          <cell r="AA6">
            <v>2892443785</v>
          </cell>
          <cell r="AC6">
            <v>479805381</v>
          </cell>
          <cell r="AF6">
            <v>510431256</v>
          </cell>
        </row>
        <row r="7">
          <cell r="O7">
            <v>536039736.90819758</v>
          </cell>
          <cell r="Q7">
            <v>571333011.33333337</v>
          </cell>
          <cell r="W7">
            <v>3200000001</v>
          </cell>
          <cell r="AA7">
            <v>3404255320</v>
          </cell>
        </row>
        <row r="8">
          <cell r="J8">
            <v>1597430305</v>
          </cell>
          <cell r="N8">
            <v>1702734955</v>
          </cell>
          <cell r="AA8">
            <v>3404255320</v>
          </cell>
          <cell r="AB8">
            <v>1066666667</v>
          </cell>
          <cell r="AF8">
            <v>1134751773</v>
          </cell>
        </row>
        <row r="9">
          <cell r="J9">
            <v>19999999</v>
          </cell>
          <cell r="N9">
            <v>21276595</v>
          </cell>
        </row>
        <row r="10">
          <cell r="J10">
            <v>43945000</v>
          </cell>
          <cell r="N10">
            <v>46750000</v>
          </cell>
        </row>
        <row r="11">
          <cell r="J11">
            <v>2331375304</v>
          </cell>
          <cell r="K11">
            <v>152152203</v>
          </cell>
          <cell r="W11">
            <v>6518897159</v>
          </cell>
          <cell r="Y11">
            <v>416099818</v>
          </cell>
          <cell r="AI11">
            <v>8806327463</v>
          </cell>
          <cell r="AJ11">
            <v>565447021</v>
          </cell>
          <cell r="AK11">
            <v>9418524484</v>
          </cell>
          <cell r="AL11">
            <v>11112923338</v>
          </cell>
          <cell r="AM11">
            <v>11826713554</v>
          </cell>
        </row>
        <row r="12">
          <cell r="R12">
            <v>610296474</v>
          </cell>
          <cell r="S12">
            <v>650365240</v>
          </cell>
          <cell r="AG12">
            <v>1652354401</v>
          </cell>
          <cell r="AH12">
            <v>1757823830</v>
          </cell>
          <cell r="AL12">
            <v>2941671778</v>
          </cell>
          <cell r="AM12">
            <v>3133892747</v>
          </cell>
        </row>
        <row r="13">
          <cell r="AL13">
            <v>8171251560</v>
          </cell>
          <cell r="AM13">
            <v>8692820807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8" Type="http://schemas.openxmlformats.org/officeDocument/2006/relationships/hyperlink" Target="http://mfe.gov.ro/event/dezvoltarea-infrastructurii-de-metrou/" TargetMode="External"/><Relationship Id="rId13" Type="http://schemas.openxmlformats.org/officeDocument/2006/relationships/hyperlink" Target="http://mfe.gov.ro/event/evaluarea-si-monitorizarea-calitatii-aerului-la-nivel-national/" TargetMode="External"/><Relationship Id="rId18" Type="http://schemas.openxmlformats.org/officeDocument/2006/relationships/hyperlink" Target="http://mfe.gov.ro/event/monitorizarea-consumului-de-energie-la-consumatorii-industriali/" TargetMode="External"/><Relationship Id="rId3" Type="http://schemas.openxmlformats.org/officeDocument/2006/relationships/hyperlink" Target="http://www.fonduri-ue.ro/images/files/programe/POIM/2017/13.06.2017/OS_1.1_2.1si2.2_1.zip" TargetMode="External"/><Relationship Id="rId21" Type="http://schemas.openxmlformats.org/officeDocument/2006/relationships/hyperlink" Target="http://mfe.gov.ro/event/dezvoltarea-infrastructurii-de-termoficare/" TargetMode="External"/><Relationship Id="rId7" Type="http://schemas.openxmlformats.org/officeDocument/2006/relationships/hyperlink" Target="http://mfe.gov.ro/event/dezvoltarea-infrastructurii-aeroportuare/" TargetMode="External"/><Relationship Id="rId12" Type="http://schemas.openxmlformats.org/officeDocument/2006/relationships/hyperlink" Target="http://mfe.gov.ro/event/refacerea-ecosistemelor-degradate/" TargetMode="External"/><Relationship Id="rId17" Type="http://schemas.openxmlformats.org/officeDocument/2006/relationships/hyperlink" Target="http://mfe.gov.ro/event/sprijinirea-investitiilor-in-extinderea-si-modernizarea-retelelor-de-distributie-a-energiei-electrice/" TargetMode="External"/><Relationship Id="rId25" Type="http://schemas.openxmlformats.org/officeDocument/2006/relationships/printerSettings" Target="../printerSettings/printerSettings1.bin"/><Relationship Id="rId2" Type="http://schemas.openxmlformats.org/officeDocument/2006/relationships/hyperlink" Target="http://www.fonduri-ue.ro/images/files/programe/INFRASTRUCTURA/POIM/2018/13.08.2018/Ghid_OS_3.2_POIM_august_2018.zip" TargetMode="External"/><Relationship Id="rId16" Type="http://schemas.openxmlformats.org/officeDocument/2006/relationships/hyperlink" Target="http://mfe.gov.ro/event/sprijinirea-investitiilor-in-capacitati-de-producere-energie-electrica-si-sau-termica-din-biomasa-biogaz-si-energie-geotermala/" TargetMode="External"/><Relationship Id="rId20" Type="http://schemas.openxmlformats.org/officeDocument/2006/relationships/hyperlink" Target="http://mfe.gov.ro/event/sprijinirea-investitiilor-in-cogenerare-de-inalta-eficienta/" TargetMode="External"/><Relationship Id="rId1" Type="http://schemas.openxmlformats.org/officeDocument/2006/relationships/hyperlink" Target="http://www.fonduri-ue.ro/images/files/programe/POIM/2018/17.01/PUBLICARE_GHID_NAVAL.zip" TargetMode="External"/><Relationship Id="rId6" Type="http://schemas.openxmlformats.org/officeDocument/2006/relationships/hyperlink" Target="http://mfe.gov.ro/event/imbunatatirea-conditiilor-de-navigatie-dezvoltarea-infrastructurii-portuare-si-a-infrastructurii-locale-intermodale-multimodale/" TargetMode="External"/><Relationship Id="rId11" Type="http://schemas.openxmlformats.org/officeDocument/2006/relationships/hyperlink" Target="http://mfe.gov.ro/event/dezvoltarea-infrastructurii-integrate-de-apa-si-apa-uzata/" TargetMode="External"/><Relationship Id="rId24" Type="http://schemas.openxmlformats.org/officeDocument/2006/relationships/hyperlink" Target="http://mfe.gov.ro/poim-consultare-publica-ghidul-consolidarea-capacitatii-unitatilor-de-invatamant-preuniversitar-de-stat-in-vederea-gestionarii-situatiei-de-pandemie-generata-de-virusul-sars-cov-2/" TargetMode="External"/><Relationship Id="rId5" Type="http://schemas.openxmlformats.org/officeDocument/2006/relationships/hyperlink" Target="http://mfe.gov.ro/event/dezvoltarea-infrastructurii-feroviare/" TargetMode="External"/><Relationship Id="rId15" Type="http://schemas.openxmlformats.org/officeDocument/2006/relationships/hyperlink" Target="http://mfe.gov.ro/event/decontaminarea-siturilor-poluate-istoric/" TargetMode="External"/><Relationship Id="rId23" Type="http://schemas.openxmlformats.org/officeDocument/2006/relationships/hyperlink" Target="http://www.fonduri-ue.ro/images/files/programe/INFRASTRUCTURA/POIM/2019/14.02/Pachet_publicare_GS_OS_5.1.zip" TargetMode="External"/><Relationship Id="rId10" Type="http://schemas.openxmlformats.org/officeDocument/2006/relationships/hyperlink" Target="http://mfe.gov.ro/event/fluidizarea-traficului-de-trecere-a-punctelor-de-comunicare-transnationala/" TargetMode="External"/><Relationship Id="rId19" Type="http://schemas.openxmlformats.org/officeDocument/2006/relationships/hyperlink" Target="http://mfe.gov.ro/event/implementarea-distributiei-inteligente-intr-o-zona-omogena-de-consumatori-casnici-de-energie-electrica/" TargetMode="External"/><Relationship Id="rId4" Type="http://schemas.openxmlformats.org/officeDocument/2006/relationships/hyperlink" Target="http://mfe.gov.ro/event/dezvoltarea-infrastructurii-rutiere/" TargetMode="External"/><Relationship Id="rId9" Type="http://schemas.openxmlformats.org/officeDocument/2006/relationships/hyperlink" Target="http://mfe.gov.ro/event/cresterea-gradului-de-siguranta-si-imbunatatirea-conditiilor-de-mediu-pe-toate-modurile-de-transport/" TargetMode="External"/><Relationship Id="rId14" Type="http://schemas.openxmlformats.org/officeDocument/2006/relationships/hyperlink" Target="http://www.fonduri-ue.ro/images/files/programe/INFRASTRUCTURA/POIM/2018/09.07/GS_OS_4.3_pdf.zip" TargetMode="External"/><Relationship Id="rId22" Type="http://schemas.openxmlformats.org/officeDocument/2006/relationships/hyperlink" Target="http://mfe.gov.ro/event/managementul-riscului-la-inundatii-eroziune-costiera-si-alte-riscuri-identificate-prin-evaluarea-nationala-a-riscurilo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3"/>
  <sheetViews>
    <sheetView topLeftCell="A27" workbookViewId="0">
      <selection activeCell="I13" sqref="I13"/>
    </sheetView>
  </sheetViews>
  <sheetFormatPr defaultColWidth="8.85546875" defaultRowHeight="15"/>
  <cols>
    <col min="1" max="1" width="15.28515625" customWidth="1"/>
    <col min="2" max="2" width="11.7109375" customWidth="1"/>
    <col min="3" max="3" width="16.7109375" customWidth="1"/>
    <col min="4" max="4" width="17.7109375" customWidth="1"/>
    <col min="5" max="5" width="18.28515625" customWidth="1"/>
    <col min="6" max="6" width="16.85546875" customWidth="1"/>
    <col min="7" max="7" width="12.28515625" customWidth="1"/>
    <col min="8" max="8" width="17.28515625" customWidth="1"/>
    <col min="9" max="9" width="18.42578125" customWidth="1"/>
    <col min="10" max="10" width="12.42578125" hidden="1" customWidth="1"/>
    <col min="11" max="11" width="20.42578125" hidden="1" customWidth="1"/>
    <col min="12" max="12" width="2.28515625" hidden="1" customWidth="1"/>
    <col min="13" max="13" width="33.28515625" customWidth="1"/>
    <col min="14" max="14" width="13" customWidth="1"/>
    <col min="15" max="15" width="13.85546875" bestFit="1" customWidth="1"/>
  </cols>
  <sheetData>
    <row r="1" spans="1:15" ht="16.5" thickBot="1">
      <c r="A1" s="454"/>
      <c r="B1" s="455"/>
      <c r="C1" s="455"/>
      <c r="D1" s="455"/>
      <c r="E1" s="455"/>
      <c r="F1" s="455"/>
      <c r="G1" s="455"/>
      <c r="H1" s="455"/>
      <c r="I1" s="455"/>
      <c r="J1" s="455"/>
      <c r="K1" s="455"/>
      <c r="L1" s="455"/>
      <c r="M1" s="455"/>
      <c r="N1" s="40"/>
    </row>
    <row r="2" spans="1:15" ht="51" customHeight="1" thickBot="1">
      <c r="A2" s="168" t="s">
        <v>137</v>
      </c>
      <c r="B2" s="168" t="s">
        <v>136</v>
      </c>
      <c r="C2" s="168" t="s">
        <v>135</v>
      </c>
      <c r="D2" s="168" t="s">
        <v>134</v>
      </c>
      <c r="E2" s="168" t="s">
        <v>133</v>
      </c>
      <c r="F2" s="168" t="s">
        <v>132</v>
      </c>
      <c r="G2" s="169" t="s">
        <v>131</v>
      </c>
      <c r="H2" s="169" t="s">
        <v>130</v>
      </c>
      <c r="I2" s="169" t="s">
        <v>129</v>
      </c>
      <c r="J2" s="168" t="s">
        <v>128</v>
      </c>
      <c r="K2" s="168" t="s">
        <v>127</v>
      </c>
      <c r="L2" s="168" t="s">
        <v>126</v>
      </c>
      <c r="M2" s="168" t="s">
        <v>125</v>
      </c>
      <c r="N2" s="167"/>
    </row>
    <row r="3" spans="1:15" ht="35.450000000000003" customHeight="1" thickBot="1">
      <c r="A3" s="448" t="s">
        <v>124</v>
      </c>
      <c r="B3" s="164"/>
      <c r="C3" s="52">
        <f>ROUND('[1]Alocare Neta POIM'!W7*G3,0)+1</f>
        <v>1440000001</v>
      </c>
      <c r="D3" s="79">
        <f>ROUND('[1]Alocare Neta POIM'!AA7*G3,0)</f>
        <v>1531914894</v>
      </c>
      <c r="E3" s="79">
        <f t="shared" ref="E3:F6" si="0">ROUND(C3*25/75,0)</f>
        <v>480000000</v>
      </c>
      <c r="F3" s="79">
        <f t="shared" si="0"/>
        <v>510638298</v>
      </c>
      <c r="G3" s="163">
        <v>0.45</v>
      </c>
      <c r="H3" s="79">
        <f t="shared" ref="H3:I6" si="1">C3+E3</f>
        <v>1920000001</v>
      </c>
      <c r="I3" s="79">
        <f t="shared" si="1"/>
        <v>2042553192</v>
      </c>
      <c r="J3" s="152"/>
      <c r="K3" s="448" t="s">
        <v>108</v>
      </c>
      <c r="L3" s="448"/>
      <c r="M3" s="49" t="s">
        <v>123</v>
      </c>
      <c r="N3" s="166">
        <f>(D3+D9+D10)/(D7+D16)</f>
        <v>0.5116813327004035</v>
      </c>
    </row>
    <row r="4" spans="1:15" ht="37.5" customHeight="1" thickBot="1">
      <c r="A4" s="448"/>
      <c r="B4" s="164" t="s">
        <v>45</v>
      </c>
      <c r="C4" s="52">
        <f>ROUND('[1]Alocare Neta POIM'!W7*G4,0)</f>
        <v>1056000000</v>
      </c>
      <c r="D4" s="79">
        <f>ROUND('[1]Alocare Neta POIM'!AA7*G4,0)-1</f>
        <v>1123404255</v>
      </c>
      <c r="E4" s="79">
        <f t="shared" si="0"/>
        <v>352000000</v>
      </c>
      <c r="F4" s="79">
        <f t="shared" si="0"/>
        <v>374468085</v>
      </c>
      <c r="G4" s="163">
        <v>0.33</v>
      </c>
      <c r="H4" s="79">
        <f t="shared" si="1"/>
        <v>1408000000</v>
      </c>
      <c r="I4" s="79">
        <f t="shared" si="1"/>
        <v>1497872340</v>
      </c>
      <c r="J4" s="152"/>
      <c r="K4" s="448"/>
      <c r="L4" s="448"/>
      <c r="M4" s="49" t="s">
        <v>122</v>
      </c>
      <c r="N4" s="80"/>
      <c r="O4" s="165" t="s">
        <v>121</v>
      </c>
    </row>
    <row r="5" spans="1:15" ht="35.450000000000003" customHeight="1" thickBot="1">
      <c r="A5" s="448"/>
      <c r="B5" s="164"/>
      <c r="C5" s="52">
        <f>ROUND('[1]Alocare Neta POIM'!W7*G5,0)</f>
        <v>192000000</v>
      </c>
      <c r="D5" s="79">
        <f>ROUND('[1]Alocare Neta POIM'!AA7*G5,0)</f>
        <v>204255319</v>
      </c>
      <c r="E5" s="79">
        <f t="shared" si="0"/>
        <v>64000000</v>
      </c>
      <c r="F5" s="79">
        <f t="shared" si="0"/>
        <v>68085106</v>
      </c>
      <c r="G5" s="163">
        <v>0.06</v>
      </c>
      <c r="H5" s="79">
        <f t="shared" si="1"/>
        <v>256000000</v>
      </c>
      <c r="I5" s="79">
        <f t="shared" si="1"/>
        <v>272340425</v>
      </c>
      <c r="J5" s="162"/>
      <c r="K5" s="448"/>
      <c r="L5" s="448"/>
      <c r="M5" s="49" t="s">
        <v>120</v>
      </c>
      <c r="N5" s="80"/>
    </row>
    <row r="6" spans="1:15" ht="35.450000000000003" customHeight="1" thickBot="1">
      <c r="A6" s="51"/>
      <c r="B6" s="164"/>
      <c r="C6" s="79">
        <f>ROUND('[1]Alocare Neta POIM'!W7*G6,0)</f>
        <v>512000000</v>
      </c>
      <c r="D6" s="79">
        <f>ROUND('[1]Alocare Neta POIM'!AA8*G6,0)+1</f>
        <v>544680852</v>
      </c>
      <c r="E6" s="55">
        <f t="shared" si="0"/>
        <v>170666667</v>
      </c>
      <c r="F6" s="79">
        <f t="shared" si="0"/>
        <v>181560284</v>
      </c>
      <c r="G6" s="163">
        <v>0.16</v>
      </c>
      <c r="H6" s="79">
        <f t="shared" si="1"/>
        <v>682666667</v>
      </c>
      <c r="I6" s="79">
        <f t="shared" si="1"/>
        <v>726241136</v>
      </c>
      <c r="J6" s="162"/>
      <c r="K6" s="161"/>
      <c r="L6" s="161"/>
      <c r="M6" s="49" t="s">
        <v>119</v>
      </c>
      <c r="N6" s="80"/>
    </row>
    <row r="7" spans="1:15" ht="32.25" customHeight="1" thickBot="1">
      <c r="A7" s="160" t="s">
        <v>118</v>
      </c>
      <c r="B7" s="138"/>
      <c r="C7" s="137">
        <f>C3+C4+C5+C6</f>
        <v>3200000001</v>
      </c>
      <c r="D7" s="137">
        <f>D3+D4+D5+D6</f>
        <v>3404255320</v>
      </c>
      <c r="E7" s="137">
        <f>ROUND(E3+E4+E5+E6,0)</f>
        <v>1066666667</v>
      </c>
      <c r="F7" s="137">
        <f>ROUND(F3+F4+F5+F6,2)</f>
        <v>1134751773</v>
      </c>
      <c r="G7" s="137" t="s">
        <v>117</v>
      </c>
      <c r="H7" s="137">
        <f>H3+H4+H5+H6</f>
        <v>4266666668</v>
      </c>
      <c r="I7" s="137">
        <f>I3+I4+I5+I6</f>
        <v>4539007093</v>
      </c>
      <c r="J7" s="137">
        <f>ROUND(0.06*D7,0)</f>
        <v>204255319</v>
      </c>
      <c r="K7" s="142"/>
      <c r="L7" s="140"/>
      <c r="M7" s="140"/>
      <c r="N7" s="80"/>
    </row>
    <row r="8" spans="1:15" s="151" customFormat="1" ht="32.25" hidden="1" customHeight="1" thickBot="1">
      <c r="A8" s="159" t="s">
        <v>116</v>
      </c>
      <c r="B8" s="158"/>
      <c r="C8" s="156" t="e">
        <f>#REF!+#REF!+#REF!</f>
        <v>#REF!</v>
      </c>
      <c r="D8" s="156"/>
      <c r="E8" s="156" t="e">
        <f>#REF!+#REF!+#REF!</f>
        <v>#REF!</v>
      </c>
      <c r="F8" s="157"/>
      <c r="G8" s="157"/>
      <c r="H8" s="156"/>
      <c r="I8" s="156"/>
      <c r="J8" s="155"/>
      <c r="K8" s="154"/>
      <c r="L8" s="153"/>
      <c r="M8" s="153" t="s">
        <v>115</v>
      </c>
      <c r="N8" s="80"/>
    </row>
    <row r="9" spans="1:15" ht="30.75" customHeight="1" thickBot="1">
      <c r="A9" s="448" t="s">
        <v>114</v>
      </c>
      <c r="B9" s="448" t="s">
        <v>46</v>
      </c>
      <c r="C9" s="146">
        <f>ROUND('[1]Alocare Neta POIM'!J8*G9,0)</f>
        <v>918522425</v>
      </c>
      <c r="D9" s="147">
        <f>ROUND('[1]Alocare Neta POIM'!N8*G9,0)</f>
        <v>979072599</v>
      </c>
      <c r="E9" s="147">
        <f t="shared" ref="E9:F15" si="2">ROUND(C9*25/75,0)</f>
        <v>306174142</v>
      </c>
      <c r="F9" s="147">
        <f t="shared" si="2"/>
        <v>326357533</v>
      </c>
      <c r="G9" s="148">
        <v>0.57499999999999996</v>
      </c>
      <c r="H9" s="146">
        <f t="shared" ref="H9:I15" si="3">C9+E9</f>
        <v>1224696567</v>
      </c>
      <c r="I9" s="146">
        <f t="shared" si="3"/>
        <v>1305430132</v>
      </c>
      <c r="J9" s="152"/>
      <c r="K9" s="448"/>
      <c r="L9" s="448" t="s">
        <v>113</v>
      </c>
      <c r="M9" s="49" t="s">
        <v>112</v>
      </c>
      <c r="N9" s="80"/>
    </row>
    <row r="10" spans="1:15" s="151" customFormat="1" ht="39.200000000000003" customHeight="1" thickBot="1">
      <c r="A10" s="448"/>
      <c r="B10" s="448"/>
      <c r="C10" s="147">
        <f>ROUND('[1]Alocare Neta POIM'!J8*G10,0)</f>
        <v>95845818</v>
      </c>
      <c r="D10" s="147">
        <f>ROUND('[1]Alocare Neta POIM'!N8*G10,0)</f>
        <v>102164097</v>
      </c>
      <c r="E10" s="147">
        <f t="shared" si="2"/>
        <v>31948606</v>
      </c>
      <c r="F10" s="147">
        <f t="shared" si="2"/>
        <v>34054699</v>
      </c>
      <c r="G10" s="148">
        <v>0.06</v>
      </c>
      <c r="H10" s="147">
        <f t="shared" si="3"/>
        <v>127794424</v>
      </c>
      <c r="I10" s="146">
        <f t="shared" si="3"/>
        <v>136218796</v>
      </c>
      <c r="J10" s="152"/>
      <c r="K10" s="448"/>
      <c r="L10" s="448"/>
      <c r="M10" s="49" t="s">
        <v>111</v>
      </c>
      <c r="N10" s="80"/>
    </row>
    <row r="11" spans="1:15" ht="31.7" customHeight="1" thickBot="1">
      <c r="A11" s="448"/>
      <c r="B11" s="448"/>
      <c r="C11" s="146">
        <f>ROUND('[1]Alocare Neta POIM'!J8*G11,0)</f>
        <v>39935758</v>
      </c>
      <c r="D11" s="147">
        <f>ROUND('[1]Alocare Neta POIM'!N8*G11,0)</f>
        <v>42568374</v>
      </c>
      <c r="E11" s="147">
        <f t="shared" si="2"/>
        <v>13311919</v>
      </c>
      <c r="F11" s="147">
        <f t="shared" si="2"/>
        <v>14189458</v>
      </c>
      <c r="G11" s="148">
        <v>2.5000000000000001E-2</v>
      </c>
      <c r="H11" s="146">
        <f t="shared" si="3"/>
        <v>53247677</v>
      </c>
      <c r="I11" s="146">
        <f t="shared" si="3"/>
        <v>56757832</v>
      </c>
      <c r="J11" s="150"/>
      <c r="K11" s="448"/>
      <c r="L11" s="448"/>
      <c r="M11" s="49" t="s">
        <v>110</v>
      </c>
      <c r="N11" s="80"/>
    </row>
    <row r="12" spans="1:15" ht="24.75" thickBot="1">
      <c r="A12" s="448"/>
      <c r="B12" s="448"/>
      <c r="C12" s="146">
        <f>ROUND('[1]Alocare Neta POIM'!J8*G12,0)</f>
        <v>127794424</v>
      </c>
      <c r="D12" s="147">
        <f>ROUND('[1]Alocare Neta POIM'!N8*G12,0)</f>
        <v>136218796</v>
      </c>
      <c r="E12" s="147">
        <f t="shared" si="2"/>
        <v>42598141</v>
      </c>
      <c r="F12" s="147">
        <f t="shared" si="2"/>
        <v>45406265</v>
      </c>
      <c r="G12" s="148">
        <v>0.08</v>
      </c>
      <c r="H12" s="146">
        <f t="shared" si="3"/>
        <v>170392565</v>
      </c>
      <c r="I12" s="146">
        <f t="shared" si="3"/>
        <v>181625061</v>
      </c>
      <c r="J12" s="149"/>
      <c r="K12" s="448"/>
      <c r="L12" s="448"/>
      <c r="M12" s="49" t="s">
        <v>109</v>
      </c>
      <c r="N12" s="80"/>
    </row>
    <row r="13" spans="1:15" ht="41.25" customHeight="1" thickBot="1">
      <c r="A13" s="448"/>
      <c r="B13" s="51"/>
      <c r="C13" s="147">
        <f>ROUND('[1]Alocare Neta POIM'!J8*G13,0)</f>
        <v>63897212</v>
      </c>
      <c r="D13" s="147">
        <f>ROUND('[1]Alocare Neta POIM'!N8*G13,0)</f>
        <v>68109398</v>
      </c>
      <c r="E13" s="147">
        <f t="shared" si="2"/>
        <v>21299071</v>
      </c>
      <c r="F13" s="147">
        <f t="shared" si="2"/>
        <v>22703133</v>
      </c>
      <c r="G13" s="148">
        <v>0.04</v>
      </c>
      <c r="H13" s="147">
        <f t="shared" si="3"/>
        <v>85196283</v>
      </c>
      <c r="I13" s="146">
        <f t="shared" si="3"/>
        <v>90812531</v>
      </c>
      <c r="J13" s="149"/>
      <c r="K13" s="456" t="s">
        <v>108</v>
      </c>
      <c r="L13" s="448" t="s">
        <v>107</v>
      </c>
      <c r="M13" s="49" t="s">
        <v>106</v>
      </c>
      <c r="N13" s="80"/>
    </row>
    <row r="14" spans="1:15" ht="39.75" customHeight="1" thickBot="1">
      <c r="A14" s="448"/>
      <c r="B14" s="51"/>
      <c r="C14" s="147">
        <f>ROUND('[1]Alocare Neta POIM'!J8*G14,0)</f>
        <v>15974303</v>
      </c>
      <c r="D14" s="147">
        <f>ROUND('[1]Alocare Neta POIM'!N8*G14,0)</f>
        <v>17027350</v>
      </c>
      <c r="E14" s="147">
        <f t="shared" si="2"/>
        <v>5324768</v>
      </c>
      <c r="F14" s="147">
        <f t="shared" si="2"/>
        <v>5675783</v>
      </c>
      <c r="G14" s="148">
        <v>0.01</v>
      </c>
      <c r="H14" s="147">
        <f t="shared" si="3"/>
        <v>21299071</v>
      </c>
      <c r="I14" s="146">
        <f t="shared" si="3"/>
        <v>22703133</v>
      </c>
      <c r="J14" s="145"/>
      <c r="K14" s="456"/>
      <c r="L14" s="448"/>
      <c r="M14" s="49" t="s">
        <v>105</v>
      </c>
      <c r="N14" s="80"/>
    </row>
    <row r="15" spans="1:15" ht="38.25" customHeight="1" thickBot="1">
      <c r="A15" s="448"/>
      <c r="B15" s="53">
        <f>D15+25500000</f>
        <v>383074341</v>
      </c>
      <c r="C15" s="147">
        <f>ROUND('[1]Alocare Neta POIM'!J8*G15,0)</f>
        <v>335460364</v>
      </c>
      <c r="D15" s="147">
        <f>ROUND('[1]Alocare Neta POIM'!N8*G15,0)</f>
        <v>357574341</v>
      </c>
      <c r="E15" s="147">
        <f t="shared" si="2"/>
        <v>111820121</v>
      </c>
      <c r="F15" s="147">
        <f t="shared" si="2"/>
        <v>119191447</v>
      </c>
      <c r="G15" s="148">
        <v>0.21</v>
      </c>
      <c r="H15" s="147">
        <f t="shared" si="3"/>
        <v>447280485</v>
      </c>
      <c r="I15" s="146">
        <f t="shared" si="3"/>
        <v>476765788</v>
      </c>
      <c r="J15" s="145"/>
      <c r="K15" s="456"/>
      <c r="L15" s="448"/>
      <c r="M15" s="144" t="s">
        <v>104</v>
      </c>
      <c r="N15" s="80"/>
    </row>
    <row r="16" spans="1:15" ht="26.45" customHeight="1" thickBot="1">
      <c r="A16" s="139" t="s">
        <v>103</v>
      </c>
      <c r="B16" s="138"/>
      <c r="C16" s="143">
        <f>C9+C10+C11+C12+C13+C14+C15</f>
        <v>1597430304</v>
      </c>
      <c r="D16" s="137">
        <f>ROUND(D9+D10+D11+D12+D13+D14+D15,0)</f>
        <v>1702734955</v>
      </c>
      <c r="E16" s="143">
        <f>E9+E10+E11+E12+E13+E14+E15</f>
        <v>532476768</v>
      </c>
      <c r="F16" s="137">
        <f>F9+F10+F11+F12+F13+F14+F15</f>
        <v>567578318</v>
      </c>
      <c r="G16" s="142">
        <f>SUM(G9:G15)</f>
        <v>1</v>
      </c>
      <c r="H16" s="143">
        <f>H9+H10+H11+H12+H13+H14+H15</f>
        <v>2129907072</v>
      </c>
      <c r="I16" s="137">
        <f>I9+I10+I11+I12+I13+I14+I15</f>
        <v>2270313273</v>
      </c>
      <c r="J16" s="143">
        <f>D16-C16</f>
        <v>105304651</v>
      </c>
      <c r="K16" s="142"/>
      <c r="L16" s="141"/>
      <c r="M16" s="140"/>
      <c r="N16" s="101"/>
    </row>
    <row r="17" spans="1:15" ht="26.45" customHeight="1" thickBot="1">
      <c r="A17" s="139" t="s">
        <v>102</v>
      </c>
      <c r="B17" s="138"/>
      <c r="C17" s="137">
        <f>C16+C7</f>
        <v>4797430305</v>
      </c>
      <c r="D17" s="137">
        <f>D16+D7</f>
        <v>5106990275</v>
      </c>
      <c r="E17" s="137">
        <f>E16+E7</f>
        <v>1599143435</v>
      </c>
      <c r="F17" s="137">
        <f>F16+F7</f>
        <v>1702330091</v>
      </c>
      <c r="G17" s="137"/>
      <c r="H17" s="137">
        <f>H16+H7</f>
        <v>6396573740</v>
      </c>
      <c r="I17" s="137">
        <f>D17+F17</f>
        <v>6809320366</v>
      </c>
      <c r="J17" s="136">
        <v>3140552.81</v>
      </c>
      <c r="K17" s="135"/>
      <c r="L17" s="134"/>
      <c r="M17" s="133"/>
      <c r="N17" s="101"/>
    </row>
    <row r="18" spans="1:15" ht="48.2" customHeight="1" thickBot="1">
      <c r="A18" s="444" t="s">
        <v>101</v>
      </c>
      <c r="B18" s="444"/>
      <c r="C18" s="107">
        <f>ROUND('[1]Alocare Neta POIM'!W6*G18,0)</f>
        <v>299078687</v>
      </c>
      <c r="D18" s="132">
        <f>ROUND('[1]Alocare Neta POIM'!AA6*G18,0)</f>
        <v>318168816</v>
      </c>
      <c r="E18" s="129">
        <f>ROUND(15*C18/85,0)</f>
        <v>52778592</v>
      </c>
      <c r="F18" s="131">
        <f>ROUND(15*D18/85,0)+1</f>
        <v>56147439</v>
      </c>
      <c r="G18" s="130">
        <v>0.11</v>
      </c>
      <c r="H18" s="129">
        <f>ROUND(C18+E18,2)</f>
        <v>351857279</v>
      </c>
      <c r="I18" s="129">
        <f>ROUND(D18+F18,2)</f>
        <v>374316255</v>
      </c>
      <c r="J18" s="106"/>
      <c r="K18" s="451"/>
      <c r="L18" s="118"/>
      <c r="M18" s="128" t="s">
        <v>100</v>
      </c>
      <c r="N18" s="101"/>
    </row>
    <row r="19" spans="1:15" ht="44.45" customHeight="1" thickBot="1">
      <c r="A19" s="445"/>
      <c r="B19" s="444"/>
      <c r="C19" s="52">
        <f>ROUND('[1]Alocare Neta POIM'!W6*G19,0)</f>
        <v>2419818471</v>
      </c>
      <c r="D19" s="127">
        <f>ROUND('[1]Alocare Neta POIM'!AA6*G19,0)</f>
        <v>2574274969</v>
      </c>
      <c r="E19" s="66">
        <f>ROUND(15*C19/85,2)</f>
        <v>427026789</v>
      </c>
      <c r="F19" s="66">
        <f>ROUND(15*D19/85,0)</f>
        <v>454283818</v>
      </c>
      <c r="G19" s="126">
        <v>0.89</v>
      </c>
      <c r="H19" s="66">
        <f>ROUND(C19+E19,2)</f>
        <v>2846845260</v>
      </c>
      <c r="I19" s="66">
        <f>ROUND(D19+F19,2)</f>
        <v>3028558787</v>
      </c>
      <c r="J19" s="125"/>
      <c r="K19" s="446"/>
      <c r="L19" s="124" t="s">
        <v>99</v>
      </c>
      <c r="M19" s="49" t="s">
        <v>98</v>
      </c>
      <c r="N19" s="452"/>
    </row>
    <row r="20" spans="1:15" ht="26.45" customHeight="1" thickBot="1">
      <c r="A20" s="99" t="s">
        <v>97</v>
      </c>
      <c r="B20" s="123"/>
      <c r="C20" s="97">
        <f>C19+C18</f>
        <v>2718897158</v>
      </c>
      <c r="D20" s="96">
        <f>D19+D18</f>
        <v>2892443785</v>
      </c>
      <c r="E20" s="95">
        <f>ROUND(15*C20/85,0)</f>
        <v>479805381</v>
      </c>
      <c r="F20" s="122">
        <f>F18+F19</f>
        <v>510431257</v>
      </c>
      <c r="G20" s="95" t="s">
        <v>96</v>
      </c>
      <c r="H20" s="95">
        <f>H19+H18</f>
        <v>3198702539</v>
      </c>
      <c r="I20" s="95">
        <f>D20+F20</f>
        <v>3402875042</v>
      </c>
      <c r="J20" s="94">
        <f>ROUND(0.06*D20,0)</f>
        <v>173546627</v>
      </c>
      <c r="K20" s="121"/>
      <c r="L20" s="92"/>
      <c r="M20" s="120"/>
      <c r="N20" s="447"/>
      <c r="O20" s="100">
        <f>0.02*I20</f>
        <v>68057500.840000004</v>
      </c>
    </row>
    <row r="21" spans="1:15" ht="53.45" customHeight="1" thickBot="1">
      <c r="A21" s="443" t="s">
        <v>95</v>
      </c>
      <c r="B21" s="443" t="s">
        <v>46</v>
      </c>
      <c r="C21" s="52">
        <f>ROUND('[1]Alocare Neta POIM'!J6*G21,0)</f>
        <v>268000000</v>
      </c>
      <c r="D21" s="69">
        <f>ROUND('[1]Alocare Neta POIM'!N6*G21,0)</f>
        <v>285106383</v>
      </c>
      <c r="E21" s="73">
        <f>ROUND(15*C21/85,0)-1</f>
        <v>47294117</v>
      </c>
      <c r="F21" s="66">
        <f>ROUND(15*D21/85,0)</f>
        <v>50312891</v>
      </c>
      <c r="G21" s="72">
        <v>0.67</v>
      </c>
      <c r="H21" s="66">
        <f>C21+E21</f>
        <v>315294117</v>
      </c>
      <c r="I21" s="66">
        <f>D21+F21</f>
        <v>335419274</v>
      </c>
      <c r="J21" s="119"/>
      <c r="K21" s="453" t="s">
        <v>94</v>
      </c>
      <c r="L21" s="118" t="s">
        <v>93</v>
      </c>
      <c r="M21" s="49" t="s">
        <v>92</v>
      </c>
      <c r="N21" s="101"/>
      <c r="O21" s="100">
        <f>F20-O20</f>
        <v>442373756.15999997</v>
      </c>
    </row>
    <row r="22" spans="1:15" ht="51.75" customHeight="1" thickBot="1">
      <c r="A22" s="444"/>
      <c r="B22" s="444"/>
      <c r="C22" s="52">
        <f>ROUND('[1]Alocare Neta POIM'!J6*G22,0)</f>
        <v>13000000</v>
      </c>
      <c r="D22" s="69">
        <f>ROUND('[1]Alocare Neta POIM'!N6*G22,0)</f>
        <v>13829787</v>
      </c>
      <c r="E22" s="66">
        <f>ROUND(15*C22/85,0)</f>
        <v>2294118</v>
      </c>
      <c r="F22" s="66">
        <f>ROUND(15*D22/85,0)</f>
        <v>2440551</v>
      </c>
      <c r="G22" s="72">
        <v>3.2500000000000001E-2</v>
      </c>
      <c r="H22" s="66">
        <f>C22+E22</f>
        <v>15294118</v>
      </c>
      <c r="I22" s="66">
        <f>D22+F22</f>
        <v>16270338</v>
      </c>
      <c r="J22" s="117"/>
      <c r="K22" s="453"/>
      <c r="L22" s="116" t="s">
        <v>91</v>
      </c>
      <c r="M22" s="49" t="s">
        <v>90</v>
      </c>
      <c r="N22" s="40"/>
    </row>
    <row r="23" spans="1:15" ht="33.75" customHeight="1" thickBot="1">
      <c r="A23" s="445"/>
      <c r="B23" s="445"/>
      <c r="C23" s="115">
        <f>ROUND('[1]Alocare Neta POIM'!J6*G23,0)</f>
        <v>119000000</v>
      </c>
      <c r="D23" s="52">
        <f>ROUND('[1]Alocare Neta POIM'!N6*G23,0)</f>
        <v>126595745</v>
      </c>
      <c r="E23" s="66">
        <f>ROUND(15*C23/85,0)</f>
        <v>21000000</v>
      </c>
      <c r="F23" s="66">
        <f>ROUND(15*D23/85,0)</f>
        <v>22340426</v>
      </c>
      <c r="G23" s="72">
        <v>0.29749999999999999</v>
      </c>
      <c r="H23" s="66">
        <f>C23+E23</f>
        <v>140000000</v>
      </c>
      <c r="I23" s="114">
        <f>D23+F23</f>
        <v>148936171</v>
      </c>
      <c r="J23" s="113"/>
      <c r="K23" s="112"/>
      <c r="L23" s="102"/>
      <c r="M23" s="49" t="s">
        <v>89</v>
      </c>
      <c r="N23" s="104"/>
    </row>
    <row r="24" spans="1:15" ht="24.75" thickBot="1">
      <c r="A24" s="99" t="s">
        <v>88</v>
      </c>
      <c r="B24" s="111"/>
      <c r="C24" s="110">
        <f>C21+C22+C23</f>
        <v>400000000</v>
      </c>
      <c r="D24" s="110">
        <f>D21+D22+D23</f>
        <v>425531915</v>
      </c>
      <c r="E24" s="97">
        <f>ROUND(E21+E22+E23,2)</f>
        <v>70588235</v>
      </c>
      <c r="F24" s="110">
        <f>F21+F22+F23</f>
        <v>75093868</v>
      </c>
      <c r="G24" s="95" t="s">
        <v>87</v>
      </c>
      <c r="H24" s="95">
        <f>ROUND(H21+H22+H23,2)</f>
        <v>470588235</v>
      </c>
      <c r="I24" s="95">
        <f>ROUND(D24+F24,2)</f>
        <v>500625783</v>
      </c>
      <c r="J24" s="94">
        <f>ROUND(0.06*D24,0)</f>
        <v>25531915</v>
      </c>
      <c r="K24" s="109"/>
      <c r="L24" s="92"/>
      <c r="M24" s="108"/>
      <c r="N24" s="104"/>
    </row>
    <row r="25" spans="1:15" ht="44.45" customHeight="1" thickBot="1">
      <c r="A25" s="443" t="s">
        <v>86</v>
      </c>
      <c r="B25" s="443" t="s">
        <v>45</v>
      </c>
      <c r="C25" s="107">
        <f>ROUND('[1]Alocare Neta POIM'!W5*G25,0)</f>
        <v>342000000</v>
      </c>
      <c r="D25" s="69">
        <f>ROUND('[1]Alocare Neta POIM'!AA5*G25,0)</f>
        <v>363829787</v>
      </c>
      <c r="E25" s="66">
        <f>ROUND(C25*15/85,0)</f>
        <v>60352941</v>
      </c>
      <c r="F25" s="66">
        <f>ROUND(D25*15/85,0)</f>
        <v>64205257</v>
      </c>
      <c r="G25" s="72">
        <v>0.76</v>
      </c>
      <c r="H25" s="66">
        <f>C25+E25</f>
        <v>402352941</v>
      </c>
      <c r="I25" s="66">
        <f>D25+F25</f>
        <v>428035044</v>
      </c>
      <c r="J25" s="106"/>
      <c r="K25" s="446" t="s">
        <v>85</v>
      </c>
      <c r="L25" s="105" t="s">
        <v>84</v>
      </c>
      <c r="M25" s="102" t="s">
        <v>83</v>
      </c>
      <c r="N25" s="104"/>
    </row>
    <row r="26" spans="1:15" ht="38.25" customHeight="1" thickBot="1">
      <c r="A26" s="444"/>
      <c r="B26" s="444"/>
      <c r="C26" s="52">
        <f>ROUND('[1]Alocare Neta POIM'!W5*G26,0)</f>
        <v>108000000</v>
      </c>
      <c r="D26" s="69">
        <f>ROUND('[1]Alocare Neta POIM'!AA5*G26,0)</f>
        <v>114893617</v>
      </c>
      <c r="E26" s="66">
        <f>ROUND(C26*15/85,0)</f>
        <v>19058824</v>
      </c>
      <c r="F26" s="66">
        <f>ROUND(D26*15/85,0)</f>
        <v>20275344</v>
      </c>
      <c r="G26" s="72">
        <v>0.24</v>
      </c>
      <c r="H26" s="66">
        <f>C26+E26</f>
        <v>127058824</v>
      </c>
      <c r="I26" s="66">
        <f>D26+F26</f>
        <v>135168961</v>
      </c>
      <c r="J26" s="103"/>
      <c r="K26" s="446"/>
      <c r="L26" s="102"/>
      <c r="M26" s="102" t="s">
        <v>82</v>
      </c>
      <c r="N26" s="101"/>
      <c r="O26" s="100"/>
    </row>
    <row r="27" spans="1:15" ht="25.5" customHeight="1" thickBot="1">
      <c r="A27" s="99" t="s">
        <v>81</v>
      </c>
      <c r="B27" s="98"/>
      <c r="C27" s="97">
        <f>ROUND(C25+C26,0)</f>
        <v>450000000</v>
      </c>
      <c r="D27" s="97">
        <f>D25+D26</f>
        <v>478723404</v>
      </c>
      <c r="E27" s="96">
        <f>ROUND(E25+E26,0)</f>
        <v>79411765</v>
      </c>
      <c r="F27" s="96">
        <f>ROUND(F25+F26,2)</f>
        <v>84480601</v>
      </c>
      <c r="G27" s="95" t="s">
        <v>80</v>
      </c>
      <c r="H27" s="95">
        <f>ROUND(H25+H26,2)</f>
        <v>529411765</v>
      </c>
      <c r="I27" s="95">
        <f>ROUND(I25+I26,2)</f>
        <v>563204005</v>
      </c>
      <c r="J27" s="94">
        <f>ROUND(D27*0.06,0)</f>
        <v>28723404</v>
      </c>
      <c r="K27" s="93"/>
      <c r="L27" s="92"/>
      <c r="M27" s="91"/>
      <c r="N27" s="447"/>
    </row>
    <row r="28" spans="1:15" ht="15.75" hidden="1" customHeight="1" thickBot="1">
      <c r="A28" s="84"/>
      <c r="B28" s="83"/>
      <c r="C28" s="82"/>
      <c r="D28" s="89"/>
      <c r="E28" s="89"/>
      <c r="F28" s="88"/>
      <c r="G28" s="90"/>
      <c r="H28" s="90"/>
      <c r="I28" s="90"/>
      <c r="J28" s="78"/>
      <c r="K28" s="86"/>
      <c r="L28" s="85"/>
      <c r="M28" s="81"/>
      <c r="N28" s="447"/>
    </row>
    <row r="29" spans="1:15" ht="24" hidden="1" customHeight="1" thickBot="1">
      <c r="A29" s="84"/>
      <c r="B29" s="83"/>
      <c r="C29" s="82"/>
      <c r="D29" s="89"/>
      <c r="E29" s="89"/>
      <c r="F29" s="88"/>
      <c r="G29" s="87"/>
      <c r="H29" s="87"/>
      <c r="I29" s="87"/>
      <c r="J29" s="78"/>
      <c r="K29" s="86"/>
      <c r="L29" s="85"/>
      <c r="M29" s="81"/>
      <c r="N29" s="447"/>
    </row>
    <row r="30" spans="1:15" ht="24" customHeight="1" thickBot="1">
      <c r="A30" s="84"/>
      <c r="B30" s="83"/>
      <c r="C30" s="82">
        <f>C20+C24+C27</f>
        <v>3568897158</v>
      </c>
      <c r="D30" s="82">
        <f>D20+D24+D27</f>
        <v>3796699104</v>
      </c>
      <c r="E30" s="82">
        <f>E20+E24+E27</f>
        <v>629805381</v>
      </c>
      <c r="F30" s="82">
        <f>F20+F24+F27</f>
        <v>670005726</v>
      </c>
      <c r="G30" s="82"/>
      <c r="H30" s="82">
        <f>H20+H24+H27</f>
        <v>4198702539</v>
      </c>
      <c r="I30" s="82">
        <f>I20+I24+I27</f>
        <v>4466704830</v>
      </c>
      <c r="J30" s="82">
        <f>J20+J24+J27</f>
        <v>227801946</v>
      </c>
      <c r="K30" s="82">
        <f>K20+K24+K27</f>
        <v>0</v>
      </c>
      <c r="L30" s="82">
        <f>L20+L24+L27</f>
        <v>0</v>
      </c>
      <c r="M30" s="81"/>
      <c r="N30" s="80">
        <f>F30-O20</f>
        <v>601948225.15999997</v>
      </c>
    </row>
    <row r="31" spans="1:15" ht="24" customHeight="1" thickBot="1">
      <c r="A31" s="448" t="s">
        <v>79</v>
      </c>
      <c r="B31" s="448" t="s">
        <v>46</v>
      </c>
      <c r="C31" s="79">
        <f>ROUND('[1]Alocare Neta POIM'!$J$4*G31, 0)</f>
        <v>89100000</v>
      </c>
      <c r="D31" s="69">
        <f>ROUND('[1]Alocare Neta POIM'!$N$4*G31,0)</f>
        <v>94787234</v>
      </c>
      <c r="E31" s="66">
        <f>ROUND(C31*15/85,0)</f>
        <v>15723529</v>
      </c>
      <c r="F31" s="68">
        <f>ROUND(D31*15/85,0)+1</f>
        <v>16727160</v>
      </c>
      <c r="G31" s="72">
        <v>0.33</v>
      </c>
      <c r="H31" s="66">
        <f t="shared" ref="H31:I34" si="4">C31+E31</f>
        <v>104823529</v>
      </c>
      <c r="I31" s="66">
        <f t="shared" si="4"/>
        <v>111514394</v>
      </c>
      <c r="J31" s="78"/>
      <c r="K31" s="446" t="s">
        <v>78</v>
      </c>
      <c r="L31" s="77" t="s">
        <v>77</v>
      </c>
      <c r="M31" s="49" t="s">
        <v>76</v>
      </c>
      <c r="N31" s="63"/>
    </row>
    <row r="32" spans="1:15" ht="24" customHeight="1" thickBot="1">
      <c r="A32" s="448"/>
      <c r="B32" s="448"/>
      <c r="C32" s="79">
        <f>ROUND('[1]Alocare Neta POIM'!$J$4*G32,0)</f>
        <v>9990000</v>
      </c>
      <c r="D32" s="69">
        <f>ROUND('[1]Alocare Neta POIM'!$N$4*G32,0)</f>
        <v>10627660</v>
      </c>
      <c r="E32" s="66">
        <f>ROUND(C32*15/85,0)</f>
        <v>1762941</v>
      </c>
      <c r="F32" s="66">
        <f>ROUND(D32*15/85,0)</f>
        <v>1875469</v>
      </c>
      <c r="G32" s="72">
        <v>3.6999999999999998E-2</v>
      </c>
      <c r="H32" s="66">
        <f t="shared" si="4"/>
        <v>11752941</v>
      </c>
      <c r="I32" s="66">
        <f t="shared" si="4"/>
        <v>12503129</v>
      </c>
      <c r="J32" s="78"/>
      <c r="K32" s="446"/>
      <c r="L32" s="77"/>
      <c r="M32" s="49" t="s">
        <v>75</v>
      </c>
      <c r="N32" s="63"/>
    </row>
    <row r="33" spans="1:14" ht="39.75" customHeight="1" thickBot="1">
      <c r="A33" s="448"/>
      <c r="B33" s="448"/>
      <c r="C33" s="79">
        <f>ROUND('[1]Alocare Neta POIM'!$J$4*G33,0)</f>
        <v>32400000</v>
      </c>
      <c r="D33" s="69">
        <f>ROUND('[1]Alocare Neta POIM'!$N$4*G33,0)</f>
        <v>34468085</v>
      </c>
      <c r="E33" s="66">
        <f>ROUND(C33*15/85,0)</f>
        <v>5717647</v>
      </c>
      <c r="F33" s="66">
        <f>ROUND(D33*15/85,0)</f>
        <v>6082603</v>
      </c>
      <c r="G33" s="72">
        <v>0.12</v>
      </c>
      <c r="H33" s="66">
        <f t="shared" si="4"/>
        <v>38117647</v>
      </c>
      <c r="I33" s="66">
        <f t="shared" si="4"/>
        <v>40550688</v>
      </c>
      <c r="J33" s="78"/>
      <c r="K33" s="446"/>
      <c r="L33" s="77"/>
      <c r="M33" s="49" t="s">
        <v>74</v>
      </c>
      <c r="N33" s="63"/>
    </row>
    <row r="34" spans="1:14" ht="39.200000000000003" customHeight="1" thickBot="1">
      <c r="A34" s="448"/>
      <c r="B34" s="448"/>
      <c r="C34" s="79">
        <f>ROUND('[1]Alocare Neta POIM'!$J$4*G34,0)</f>
        <v>54000000</v>
      </c>
      <c r="D34" s="69">
        <f>ROUND('[1]Alocare Neta POIM'!$N$4*G34,0)</f>
        <v>57446808</v>
      </c>
      <c r="E34" s="66">
        <f>ROUND(C34*15/85,0)</f>
        <v>9529412</v>
      </c>
      <c r="F34" s="66">
        <f>ROUND(D34*15/85,0)</f>
        <v>10137672</v>
      </c>
      <c r="G34" s="72">
        <v>0.2</v>
      </c>
      <c r="H34" s="66">
        <f t="shared" si="4"/>
        <v>63529412</v>
      </c>
      <c r="I34" s="66">
        <f t="shared" si="4"/>
        <v>67584480</v>
      </c>
      <c r="J34" s="78"/>
      <c r="K34" s="446"/>
      <c r="L34" s="77" t="s">
        <v>73</v>
      </c>
      <c r="M34" s="49" t="s">
        <v>72</v>
      </c>
      <c r="N34" s="40"/>
    </row>
    <row r="35" spans="1:14" ht="37.15" customHeight="1" thickBot="1">
      <c r="A35" s="48" t="s">
        <v>71</v>
      </c>
      <c r="B35" s="76"/>
      <c r="C35" s="46">
        <f>ROUND(C31+C34+C33+C32,0)</f>
        <v>185490000</v>
      </c>
      <c r="D35" s="46">
        <f>ROUND(D31+D34+D33+D32,0)</f>
        <v>197329787</v>
      </c>
      <c r="E35" s="46">
        <f>ROUND(E31+E34+E33+E32,2)</f>
        <v>32733529</v>
      </c>
      <c r="F35" s="46">
        <f>F31+F34+F33+F32</f>
        <v>34822904</v>
      </c>
      <c r="G35" s="45" t="s">
        <v>70</v>
      </c>
      <c r="H35" s="45">
        <f>ROUND(H31+H34+H33+H32,2)</f>
        <v>218223529</v>
      </c>
      <c r="I35" s="45">
        <f>ROUND(D35+F35,2)</f>
        <v>232152691</v>
      </c>
      <c r="J35" s="44">
        <f>ROUND(0.06*D35,0)</f>
        <v>11839787</v>
      </c>
      <c r="K35" s="43"/>
      <c r="L35" s="42"/>
      <c r="M35" s="75"/>
      <c r="N35" s="40"/>
    </row>
    <row r="36" spans="1:14" ht="53.45" customHeight="1" thickBot="1">
      <c r="A36" s="449" t="s">
        <v>69</v>
      </c>
      <c r="B36" s="51" t="s">
        <v>46</v>
      </c>
      <c r="C36" s="74">
        <f>ROUND('[1]Alocare Neta POIM'!J4*G36,0)</f>
        <v>84510000</v>
      </c>
      <c r="D36" s="69">
        <f>ROUND('[1]Alocare Neta POIM'!N4*G36,0)</f>
        <v>89904255</v>
      </c>
      <c r="E36" s="73">
        <f>ROUND(C36*15/85,0)+1</f>
        <v>14913530</v>
      </c>
      <c r="F36" s="66">
        <f>ROUND(D36*15/85,0)</f>
        <v>15865457</v>
      </c>
      <c r="G36" s="72">
        <v>0.313</v>
      </c>
      <c r="H36" s="66">
        <f>C36+E36</f>
        <v>99423530</v>
      </c>
      <c r="I36" s="66">
        <f>D36+F36</f>
        <v>105769712</v>
      </c>
      <c r="J36" s="44">
        <f>ROUND(0.06*D36,0)</f>
        <v>5394255</v>
      </c>
      <c r="K36" s="71"/>
      <c r="L36" s="70"/>
      <c r="M36" s="49" t="s">
        <v>68</v>
      </c>
      <c r="N36" s="63"/>
    </row>
    <row r="37" spans="1:14" ht="53.45" customHeight="1" thickBot="1">
      <c r="A37" s="450"/>
      <c r="B37" s="51" t="s">
        <v>45</v>
      </c>
      <c r="C37" s="69">
        <f>ROUND('[1]Alocare Neta POIM'!W4,0)</f>
        <v>150000000</v>
      </c>
      <c r="D37" s="69">
        <f>ROUND('[1]Alocare Neta POIM'!AA4,0)</f>
        <v>159574468</v>
      </c>
      <c r="E37" s="66">
        <f>ROUND(C37*15/85,0)</f>
        <v>26470588</v>
      </c>
      <c r="F37" s="68">
        <f>ROUND(D37*15/85,0)+1</f>
        <v>28160201</v>
      </c>
      <c r="G37" s="67"/>
      <c r="H37" s="66">
        <f>C37+E37</f>
        <v>176470588</v>
      </c>
      <c r="I37" s="66">
        <f>D37+F37</f>
        <v>187734669</v>
      </c>
      <c r="J37" s="44">
        <f>ROUND(0.06*D37,0)</f>
        <v>9574468</v>
      </c>
      <c r="K37" s="65"/>
      <c r="L37" s="64"/>
      <c r="M37" s="49" t="s">
        <v>67</v>
      </c>
      <c r="N37" s="63"/>
    </row>
    <row r="38" spans="1:14" ht="15.75" thickBot="1">
      <c r="A38" s="62" t="s">
        <v>66</v>
      </c>
      <c r="B38" s="61"/>
      <c r="C38" s="60">
        <f>ROUND(C37+C36,0)</f>
        <v>234510000</v>
      </c>
      <c r="D38" s="60">
        <f>D37+D36</f>
        <v>249478723</v>
      </c>
      <c r="E38" s="59">
        <f>ROUND(C38*15/85,)</f>
        <v>41384118</v>
      </c>
      <c r="F38" s="58">
        <f>ROUND(D38*15/85,0)</f>
        <v>44025657</v>
      </c>
      <c r="G38" s="58"/>
      <c r="H38" s="58">
        <f>ROUND(H37+H36,2)</f>
        <v>275894118</v>
      </c>
      <c r="I38" s="58">
        <f>I37+I36</f>
        <v>293504381</v>
      </c>
      <c r="J38" s="56"/>
      <c r="K38" s="57"/>
      <c r="L38" s="56"/>
      <c r="M38" s="56"/>
    </row>
    <row r="39" spans="1:14" ht="37.15" customHeight="1" thickBot="1">
      <c r="A39" s="443" t="s">
        <v>65</v>
      </c>
      <c r="B39" s="443" t="s">
        <v>46</v>
      </c>
      <c r="C39" s="52">
        <f>ROUND('[1]Alocare Neta POIM'!J9,0)</f>
        <v>19999999</v>
      </c>
      <c r="D39" s="52">
        <f>ROUND('[1]Alocare Neta POIM'!N9,0)</f>
        <v>21276595</v>
      </c>
      <c r="E39" s="55">
        <f>ROUND(C39*15/85,0)-1</f>
        <v>3529411</v>
      </c>
      <c r="F39" s="54">
        <f>ROUND(D39*15/85,0)+1</f>
        <v>3754694</v>
      </c>
      <c r="G39" s="53"/>
      <c r="H39" s="52">
        <f>ROUND(C39+E39,2)</f>
        <v>23529410</v>
      </c>
      <c r="I39" s="52">
        <f>D39+F39</f>
        <v>25031289</v>
      </c>
      <c r="J39" s="51"/>
      <c r="K39" s="51"/>
      <c r="L39" s="50"/>
      <c r="M39" s="49" t="s">
        <v>64</v>
      </c>
    </row>
    <row r="40" spans="1:14" ht="42.75" customHeight="1" thickBot="1">
      <c r="A40" s="444"/>
      <c r="B40" s="445"/>
      <c r="C40" s="52">
        <f>'[1]Alocare Neta POIM'!J10</f>
        <v>43945000</v>
      </c>
      <c r="D40" s="52">
        <f>'[1]Alocare Neta POIM'!N10</f>
        <v>46750000</v>
      </c>
      <c r="E40" s="52">
        <f>ROUND(C40*15/85,0)</f>
        <v>7755000</v>
      </c>
      <c r="F40" s="52">
        <f>ROUND(D40*15/85,0)</f>
        <v>8250000</v>
      </c>
      <c r="G40" s="53"/>
      <c r="H40" s="52">
        <f>C40+E40</f>
        <v>51700000</v>
      </c>
      <c r="I40" s="52">
        <f>D40+F40</f>
        <v>55000000</v>
      </c>
      <c r="J40" s="51"/>
      <c r="K40" s="51"/>
      <c r="L40" s="50"/>
      <c r="M40" s="49" t="s">
        <v>63</v>
      </c>
    </row>
    <row r="41" spans="1:14" ht="37.15" customHeight="1" thickBot="1">
      <c r="A41" s="48" t="s">
        <v>62</v>
      </c>
      <c r="B41" s="47"/>
      <c r="C41" s="46">
        <f>ROUND(C39+C40,0)</f>
        <v>63944999</v>
      </c>
      <c r="D41" s="46">
        <f>D39+D40</f>
        <v>68026595</v>
      </c>
      <c r="E41" s="46">
        <f>E39+E40</f>
        <v>11284411</v>
      </c>
      <c r="F41" s="46">
        <f>F39+F40</f>
        <v>12004694</v>
      </c>
      <c r="G41" s="45" t="s">
        <v>61</v>
      </c>
      <c r="H41" s="45">
        <f>H39+H40</f>
        <v>75229410</v>
      </c>
      <c r="I41" s="45">
        <f>ROUND(D41+F41,2)</f>
        <v>80031289</v>
      </c>
      <c r="J41" s="44">
        <f>ROUND(0.06*D41,0)</f>
        <v>4081596</v>
      </c>
      <c r="K41" s="43"/>
      <c r="L41" s="42"/>
      <c r="M41" s="41"/>
      <c r="N41" s="40"/>
    </row>
    <row r="42" spans="1:14" ht="15.75" thickBot="1">
      <c r="A42" s="39" t="s">
        <v>60</v>
      </c>
      <c r="B42" s="37"/>
      <c r="C42" s="38">
        <f>C38+C41+C35+C27+C24+C20+C16+C7</f>
        <v>8850272462</v>
      </c>
      <c r="D42" s="38">
        <f>D38+D41+D35+D27+D24+D20+D16+D7</f>
        <v>9418524484</v>
      </c>
      <c r="E42" s="38">
        <f>E38+E41+E35+E27+E24+E20+E16+E7</f>
        <v>2314350874</v>
      </c>
      <c r="F42" s="38">
        <f>F38+F41+F35+F27+F24+F20+F16+F7</f>
        <v>2463189072</v>
      </c>
      <c r="G42" s="38"/>
      <c r="H42" s="38">
        <f>H38+H41+H35+H27+H24+H20+H16+H7</f>
        <v>11164623336</v>
      </c>
      <c r="I42" s="38">
        <f>I38+I41+I35+I27+I24+I20+I16+I7</f>
        <v>11881713557</v>
      </c>
      <c r="J42" s="38">
        <f>J36+J37+J41+J35+J27+J24+J20+J16+J7</f>
        <v>568252022</v>
      </c>
      <c r="K42" s="37"/>
      <c r="L42" s="37"/>
      <c r="M42" s="37"/>
    </row>
    <row r="43" spans="1:14">
      <c r="A43" s="36"/>
      <c r="B43" s="33"/>
      <c r="C43" s="35"/>
      <c r="D43" s="35"/>
      <c r="E43" s="35"/>
      <c r="F43" s="35"/>
      <c r="G43" s="35"/>
      <c r="H43" s="35"/>
      <c r="I43" s="35"/>
      <c r="J43" s="34"/>
      <c r="K43" s="33"/>
      <c r="L43" s="33"/>
      <c r="M43" s="33"/>
    </row>
    <row r="44" spans="1:14" s="13" customFormat="1" hidden="1">
      <c r="A44" s="31" t="s">
        <v>59</v>
      </c>
      <c r="B44" s="30"/>
      <c r="C44" s="26">
        <f>C47+C48+C49+C50+C52+C53+C24</f>
        <v>8850272462</v>
      </c>
      <c r="D44" s="26">
        <f>D47+D48+D49+D50+D52+D53+D24</f>
        <v>9418524484</v>
      </c>
      <c r="E44" s="26">
        <f>E47+E48+E49+E50+E52+E53+E24</f>
        <v>2314350874</v>
      </c>
      <c r="F44" s="26">
        <f>F47+F48+F49+F50+F52+F53+F24</f>
        <v>2463189073</v>
      </c>
      <c r="G44" s="29"/>
      <c r="H44" s="32">
        <f>'[1]Alocare Neta POIM'!AL11</f>
        <v>11112923338</v>
      </c>
      <c r="I44" s="32">
        <f>'[1]Alocare Neta POIM'!AM11</f>
        <v>11826713554</v>
      </c>
      <c r="J44" s="32">
        <f>'[1]Alocare Neta POIM'!AJ11</f>
        <v>565447021</v>
      </c>
      <c r="K44" s="17"/>
    </row>
    <row r="45" spans="1:14" s="13" customFormat="1" hidden="1">
      <c r="A45" s="31"/>
      <c r="B45" s="30"/>
      <c r="C45" s="26">
        <f>'[1]Alocare Neta POIM'!AI11</f>
        <v>8806327463</v>
      </c>
      <c r="D45" s="26">
        <f>'[1]Alocare Neta POIM'!AK11</f>
        <v>9418524484</v>
      </c>
      <c r="E45" s="26">
        <f>'[1]Alocare Neta POIM'!AG12+'[1]Alocare Neta POIM'!R12</f>
        <v>2262650875</v>
      </c>
      <c r="F45" s="26">
        <f>'[1]Alocare Neta POIM'!AH12+'[1]Alocare Neta POIM'!S12</f>
        <v>2408189070</v>
      </c>
      <c r="G45" s="29"/>
      <c r="H45" s="25"/>
      <c r="I45" s="25"/>
      <c r="J45" s="25"/>
      <c r="K45" s="17"/>
    </row>
    <row r="46" spans="1:14" s="13" customFormat="1" hidden="1">
      <c r="A46" s="31"/>
      <c r="B46" s="30"/>
      <c r="C46" s="26"/>
      <c r="D46" s="26"/>
      <c r="E46" s="26"/>
      <c r="F46" s="26"/>
      <c r="G46" s="29"/>
      <c r="H46" s="25"/>
      <c r="I46" s="25"/>
      <c r="J46" s="25"/>
      <c r="K46" s="17"/>
    </row>
    <row r="47" spans="1:14" s="13" customFormat="1" hidden="1">
      <c r="A47" s="22" t="s">
        <v>58</v>
      </c>
      <c r="B47" s="27"/>
      <c r="C47" s="21">
        <f>C35+C36</f>
        <v>270000000</v>
      </c>
      <c r="D47" s="21">
        <f>D35+D36</f>
        <v>287234042</v>
      </c>
      <c r="E47" s="21">
        <f>E35+E36</f>
        <v>47647059</v>
      </c>
      <c r="F47" s="21">
        <f>F35+F36</f>
        <v>50688361</v>
      </c>
      <c r="G47" s="25"/>
      <c r="H47" s="26">
        <f>'[1]Alocare Neta POIM'!O4</f>
        <v>47647061</v>
      </c>
      <c r="I47" s="26">
        <f>'[1]Alocare Neta POIM'!Q4</f>
        <v>50688362</v>
      </c>
      <c r="J47" s="25"/>
      <c r="K47" s="17"/>
    </row>
    <row r="48" spans="1:14" s="13" customFormat="1" hidden="1">
      <c r="A48" s="22" t="s">
        <v>57</v>
      </c>
      <c r="B48" s="27"/>
      <c r="C48" s="21">
        <f>C37</f>
        <v>150000000</v>
      </c>
      <c r="D48" s="21">
        <f>D37</f>
        <v>159574468</v>
      </c>
      <c r="E48" s="21">
        <f>E37</f>
        <v>26470588</v>
      </c>
      <c r="F48" s="21">
        <f>F37</f>
        <v>28160201</v>
      </c>
      <c r="G48" s="25"/>
      <c r="H48" s="26">
        <f>'[1]Alocare Neta POIM'!AC4</f>
        <v>26470588</v>
      </c>
      <c r="I48" s="26">
        <f>'[1]Alocare Neta POIM'!AF4</f>
        <v>28160200</v>
      </c>
      <c r="J48" s="25"/>
      <c r="K48" s="17"/>
    </row>
    <row r="49" spans="1:11" s="13" customFormat="1" hidden="1">
      <c r="A49" s="22" t="s">
        <v>56</v>
      </c>
      <c r="B49" s="27"/>
      <c r="C49" s="21">
        <f>C27</f>
        <v>450000000</v>
      </c>
      <c r="D49" s="21">
        <f>D27</f>
        <v>478723404</v>
      </c>
      <c r="E49" s="21">
        <f>E27</f>
        <v>79411765</v>
      </c>
      <c r="F49" s="21">
        <f>F27</f>
        <v>84480601</v>
      </c>
      <c r="G49" s="25"/>
      <c r="H49" s="26">
        <f>'[1]Alocare Neta POIM'!AC5</f>
        <v>79411765</v>
      </c>
      <c r="I49" s="26">
        <f>'[1]Alocare Neta POIM'!AF5</f>
        <v>84480601</v>
      </c>
      <c r="J49" s="25"/>
      <c r="K49" s="17"/>
    </row>
    <row r="50" spans="1:11" s="13" customFormat="1" hidden="1">
      <c r="A50" s="22" t="s">
        <v>55</v>
      </c>
      <c r="B50" s="27"/>
      <c r="C50" s="21">
        <f>C20</f>
        <v>2718897158</v>
      </c>
      <c r="D50" s="21">
        <f>D20</f>
        <v>2892443785</v>
      </c>
      <c r="E50" s="21">
        <f>E20</f>
        <v>479805381</v>
      </c>
      <c r="F50" s="21">
        <f>F20</f>
        <v>510431257</v>
      </c>
      <c r="G50" s="25"/>
      <c r="H50" s="26">
        <f>'[1]Alocare Neta POIM'!AC6</f>
        <v>479805381</v>
      </c>
      <c r="I50" s="26">
        <f>'[1]Alocare Neta POIM'!AF6</f>
        <v>510431256</v>
      </c>
      <c r="J50" s="25"/>
      <c r="K50" s="17"/>
    </row>
    <row r="51" spans="1:11" s="13" customFormat="1" hidden="1">
      <c r="A51" s="22" t="s">
        <v>54</v>
      </c>
      <c r="B51" s="27"/>
      <c r="C51" s="21">
        <f>C24</f>
        <v>400000000</v>
      </c>
      <c r="D51" s="21">
        <f>D24</f>
        <v>425531915</v>
      </c>
      <c r="E51" s="21">
        <f>E24</f>
        <v>70588235</v>
      </c>
      <c r="F51" s="21">
        <f>F24</f>
        <v>75093868</v>
      </c>
      <c r="G51" s="25"/>
      <c r="H51" s="26">
        <f>'[1]Alocare Neta POIM'!O6</f>
        <v>70588236</v>
      </c>
      <c r="I51" s="26">
        <f>'[1]Alocare Neta POIM'!Q6</f>
        <v>75093869</v>
      </c>
      <c r="J51" s="27"/>
      <c r="K51" s="17"/>
    </row>
    <row r="52" spans="1:11" s="13" customFormat="1" hidden="1">
      <c r="A52" s="22" t="s">
        <v>53</v>
      </c>
      <c r="B52" s="27"/>
      <c r="C52" s="21">
        <f>C16+C41</f>
        <v>1661375303</v>
      </c>
      <c r="D52" s="21">
        <f>D16+D41</f>
        <v>1770761550</v>
      </c>
      <c r="E52" s="21">
        <f>E16+E41</f>
        <v>543761179</v>
      </c>
      <c r="F52" s="21">
        <f>F16+F41</f>
        <v>579583012</v>
      </c>
      <c r="G52" s="25"/>
      <c r="H52" s="26">
        <f>'[1]Alocare Neta POIM'!O7</f>
        <v>536039736.90819758</v>
      </c>
      <c r="I52" s="26">
        <f>'[1]Alocare Neta POIM'!Q7</f>
        <v>571333011.33333337</v>
      </c>
      <c r="J52" s="27"/>
      <c r="K52" s="17"/>
    </row>
    <row r="53" spans="1:11" s="13" customFormat="1" hidden="1">
      <c r="A53" s="22" t="s">
        <v>52</v>
      </c>
      <c r="B53" s="27"/>
      <c r="C53" s="21">
        <f>C7</f>
        <v>3200000001</v>
      </c>
      <c r="D53" s="21">
        <f>D7</f>
        <v>3404255320</v>
      </c>
      <c r="E53" s="21">
        <f>E7</f>
        <v>1066666667</v>
      </c>
      <c r="F53" s="21">
        <f>F7</f>
        <v>1134751773</v>
      </c>
      <c r="G53" s="25"/>
      <c r="H53" s="26">
        <f>'[1]Alocare Neta POIM'!AB8</f>
        <v>1066666667</v>
      </c>
      <c r="I53" s="26">
        <f>'[1]Alocare Neta POIM'!AF8</f>
        <v>1134751773</v>
      </c>
      <c r="J53" s="27"/>
      <c r="K53" s="17"/>
    </row>
    <row r="54" spans="1:11" s="13" customFormat="1" hidden="1">
      <c r="A54" s="22"/>
      <c r="B54" s="27"/>
      <c r="C54" s="26">
        <v>8853413015</v>
      </c>
      <c r="D54" s="26">
        <v>9418524484</v>
      </c>
      <c r="E54" s="21">
        <v>2319153805</v>
      </c>
      <c r="F54" s="26"/>
      <c r="G54" s="25"/>
      <c r="H54" s="26"/>
      <c r="I54" s="25"/>
      <c r="J54" s="17"/>
      <c r="K54" s="17"/>
    </row>
    <row r="55" spans="1:11" s="13" customFormat="1" hidden="1">
      <c r="A55" s="22" t="s">
        <v>46</v>
      </c>
      <c r="B55" s="27"/>
      <c r="C55" s="23">
        <f>C47+C52+C51</f>
        <v>2331375303</v>
      </c>
      <c r="D55" s="19">
        <f>D47+D52+D51</f>
        <v>2483527507</v>
      </c>
      <c r="E55" s="21">
        <f>E47+E52+E51</f>
        <v>661996473</v>
      </c>
      <c r="F55" s="19">
        <f>F47+F52+F51</f>
        <v>705365241</v>
      </c>
      <c r="G55" s="24"/>
      <c r="H55" s="26">
        <f>'[1]Alocare Neta POIM'!AL12</f>
        <v>2941671778</v>
      </c>
      <c r="I55" s="26">
        <f>'[1]Alocare Neta POIM'!AM12</f>
        <v>3133892747</v>
      </c>
      <c r="J55" s="17"/>
      <c r="K55" s="17"/>
    </row>
    <row r="56" spans="1:11" s="13" customFormat="1" hidden="1">
      <c r="A56" s="22" t="s">
        <v>45</v>
      </c>
      <c r="B56" s="27"/>
      <c r="C56" s="21">
        <f>C48+C49+C50+C53</f>
        <v>6518897159</v>
      </c>
      <c r="D56" s="21">
        <f>D48+D49+D50+D53</f>
        <v>6934996977</v>
      </c>
      <c r="E56" s="21">
        <f>E48+E49+E50+E53</f>
        <v>1652354401</v>
      </c>
      <c r="F56" s="21">
        <f>F48+F49+F50+F53</f>
        <v>1757823832</v>
      </c>
      <c r="G56" s="25"/>
      <c r="H56" s="26">
        <f>'[1]Alocare Neta POIM'!AL13</f>
        <v>8171251560</v>
      </c>
      <c r="I56" s="26">
        <f>'[1]Alocare Neta POIM'!AM13</f>
        <v>8692820807</v>
      </c>
      <c r="J56" s="17"/>
      <c r="K56" s="17"/>
    </row>
    <row r="57" spans="1:11" s="13" customFormat="1" hidden="1">
      <c r="A57" s="28" t="s">
        <v>51</v>
      </c>
      <c r="B57" s="27"/>
      <c r="C57" s="26">
        <f>'[1]Alocare Neta POIM'!K11</f>
        <v>152152203</v>
      </c>
      <c r="D57" s="21">
        <f>D55-C55</f>
        <v>152152204</v>
      </c>
      <c r="E57" s="21">
        <f>E55+E56</f>
        <v>2314350874</v>
      </c>
      <c r="F57" s="21"/>
      <c r="G57" s="25"/>
      <c r="H57" s="25"/>
      <c r="I57" s="25"/>
      <c r="J57" s="17"/>
      <c r="K57" s="17"/>
    </row>
    <row r="58" spans="1:11" s="13" customFormat="1" hidden="1">
      <c r="A58" s="22" t="s">
        <v>50</v>
      </c>
      <c r="B58" s="17"/>
      <c r="C58" s="20">
        <f>'[1]Alocare Neta POIM'!Y11</f>
        <v>416099818</v>
      </c>
      <c r="D58" s="21">
        <f>D56-C56</f>
        <v>416099818</v>
      </c>
      <c r="E58" s="21"/>
      <c r="F58" s="19"/>
      <c r="G58" s="24"/>
      <c r="H58" s="24" t="s">
        <v>49</v>
      </c>
      <c r="I58" s="24" t="s">
        <v>48</v>
      </c>
      <c r="J58" s="17" t="s">
        <v>47</v>
      </c>
      <c r="K58" s="17"/>
    </row>
    <row r="59" spans="1:11" s="13" customFormat="1" hidden="1">
      <c r="A59" s="22" t="s">
        <v>46</v>
      </c>
      <c r="B59" s="17"/>
      <c r="C59" s="23">
        <f>C16+C24+C35+C36+C41</f>
        <v>2331375303</v>
      </c>
      <c r="D59" s="19">
        <f>D16+D24+D35+D36+D41</f>
        <v>2483527507</v>
      </c>
      <c r="E59" s="21">
        <f>E16+E24+E35+E36+E41</f>
        <v>661996473</v>
      </c>
      <c r="F59" s="19">
        <f>F16+F24+F35+F36+F41</f>
        <v>705365241</v>
      </c>
      <c r="G59" s="19"/>
      <c r="H59" s="19">
        <f>H16+H24+H35+H36+H41</f>
        <v>2993371776</v>
      </c>
      <c r="I59" s="19">
        <f>I16+I24+I35+I36+I41</f>
        <v>3188892748</v>
      </c>
      <c r="J59" s="19">
        <f>J16+J24+J35+J36+J41</f>
        <v>152152204</v>
      </c>
      <c r="K59" s="17"/>
    </row>
    <row r="60" spans="1:11" s="13" customFormat="1" hidden="1">
      <c r="A60" s="22" t="s">
        <v>45</v>
      </c>
      <c r="B60" s="17"/>
      <c r="C60" s="19">
        <f>C7+C20+C27+C37</f>
        <v>6518897159</v>
      </c>
      <c r="D60" s="19">
        <f>D7+D20+D27+D37</f>
        <v>6934996977</v>
      </c>
      <c r="E60" s="21">
        <f>E7+E20+E27+E37</f>
        <v>1652354401</v>
      </c>
      <c r="F60" s="19">
        <f>F7+F20+F27+F37</f>
        <v>1757823832</v>
      </c>
      <c r="G60" s="19"/>
      <c r="H60" s="19">
        <f>H7+H20+H27+H37</f>
        <v>8171251560</v>
      </c>
      <c r="I60" s="19">
        <f>I7+I20+I27+I37</f>
        <v>8692820809</v>
      </c>
      <c r="J60" s="19">
        <f>J7+J20+J27+J37</f>
        <v>416099818</v>
      </c>
      <c r="K60" s="17"/>
    </row>
    <row r="61" spans="1:11" s="13" customFormat="1" hidden="1">
      <c r="B61" s="17"/>
      <c r="C61" s="19">
        <f>'[1]Alocare Neta POIM'!J11</f>
        <v>2331375304</v>
      </c>
      <c r="D61" s="19"/>
      <c r="E61" s="20">
        <f>'[1]Alocare Neta POIM'!R12</f>
        <v>610296474</v>
      </c>
      <c r="F61" s="20">
        <f>'[1]Alocare Neta POIM'!S12</f>
        <v>650365240</v>
      </c>
      <c r="G61" s="19"/>
      <c r="H61" s="19"/>
      <c r="I61" s="19"/>
      <c r="J61" s="19"/>
      <c r="K61" s="17"/>
    </row>
    <row r="62" spans="1:11" s="13" customFormat="1" hidden="1">
      <c r="B62" s="17"/>
      <c r="C62" s="19">
        <f>'[1]Alocare Neta POIM'!W11</f>
        <v>6518897159</v>
      </c>
      <c r="D62" s="19"/>
      <c r="E62" s="20">
        <f>'[1]Alocare Neta POIM'!AG12</f>
        <v>1652354401</v>
      </c>
      <c r="F62" s="20">
        <f>'[1]Alocare Neta POIM'!AH12</f>
        <v>1757823830</v>
      </c>
      <c r="G62" s="19"/>
      <c r="H62" s="19"/>
      <c r="I62" s="19"/>
      <c r="J62" s="19"/>
      <c r="K62" s="17"/>
    </row>
    <row r="63" spans="1:11" s="13" customFormat="1" hidden="1">
      <c r="B63" s="17"/>
      <c r="C63" s="17"/>
      <c r="D63" s="18"/>
      <c r="E63" s="18"/>
      <c r="F63" s="18"/>
      <c r="G63" s="18"/>
      <c r="H63" s="18"/>
      <c r="I63" s="18"/>
      <c r="J63" s="17"/>
      <c r="K63" s="17"/>
    </row>
    <row r="64" spans="1:11" s="13" customFormat="1" hidden="1">
      <c r="B64" s="17"/>
      <c r="C64" s="17"/>
      <c r="D64" s="17"/>
      <c r="E64" s="17"/>
      <c r="F64" s="17"/>
      <c r="G64" s="17"/>
      <c r="H64" s="17"/>
      <c r="I64" s="17"/>
      <c r="J64" s="17"/>
      <c r="K64" s="17"/>
    </row>
    <row r="65" spans="1:5" s="13" customFormat="1" hidden="1">
      <c r="A65" s="13" t="s">
        <v>44</v>
      </c>
      <c r="C65" s="16">
        <f>D7+D16+D20+D24+D27+D39+D31</f>
        <v>9019753208</v>
      </c>
      <c r="D65" s="13">
        <f>C65/D44</f>
        <v>0.95766096094166075</v>
      </c>
    </row>
    <row r="66" spans="1:5" s="13" customFormat="1" hidden="1"/>
    <row r="67" spans="1:5" s="13" customFormat="1" hidden="1">
      <c r="A67" s="15"/>
      <c r="B67" s="15"/>
      <c r="C67" s="14" t="s">
        <v>43</v>
      </c>
      <c r="D67" s="14" t="s">
        <v>42</v>
      </c>
      <c r="E67" s="14" t="s">
        <v>41</v>
      </c>
    </row>
    <row r="68" spans="1:5" hidden="1">
      <c r="A68" s="1" t="s">
        <v>40</v>
      </c>
      <c r="B68" s="1" t="s">
        <v>39</v>
      </c>
      <c r="C68" s="12">
        <v>25031288</v>
      </c>
      <c r="D68" s="12">
        <f>ROUND(0.85*C68,0)</f>
        <v>21276595</v>
      </c>
      <c r="E68" s="7">
        <f>ROUND(0.94*D68+1,0)</f>
        <v>20000000</v>
      </c>
    </row>
    <row r="69" spans="1:5" hidden="1">
      <c r="A69" s="1"/>
      <c r="B69" s="11" t="s">
        <v>38</v>
      </c>
      <c r="C69" s="10">
        <v>55000000</v>
      </c>
      <c r="D69" s="10">
        <f>0.85*C69</f>
        <v>46750000</v>
      </c>
      <c r="E69" s="7">
        <f>ROUND(0.94*D69,0)</f>
        <v>43945000</v>
      </c>
    </row>
    <row r="70" spans="1:5" hidden="1">
      <c r="A70" s="1"/>
      <c r="B70" s="9" t="s">
        <v>37</v>
      </c>
      <c r="C70" s="8">
        <f>C69-C68</f>
        <v>29968712</v>
      </c>
      <c r="D70" s="8">
        <f>D69-D68</f>
        <v>25473405</v>
      </c>
      <c r="E70" s="7">
        <f>ROUND(0.94*D70,0)</f>
        <v>23945001</v>
      </c>
    </row>
    <row r="71" spans="1:5" hidden="1"/>
    <row r="72" spans="1:5" hidden="1"/>
    <row r="73" spans="1:5" hidden="1"/>
  </sheetData>
  <mergeCells count="27">
    <mergeCell ref="A1:M1"/>
    <mergeCell ref="A3:A5"/>
    <mergeCell ref="K3:K5"/>
    <mergeCell ref="L3:L5"/>
    <mergeCell ref="A9:A15"/>
    <mergeCell ref="B9:B12"/>
    <mergeCell ref="K9:K12"/>
    <mergeCell ref="L9:L12"/>
    <mergeCell ref="K13:K15"/>
    <mergeCell ref="L13:L15"/>
    <mergeCell ref="A18:A19"/>
    <mergeCell ref="B18:B19"/>
    <mergeCell ref="K18:K19"/>
    <mergeCell ref="N19:N20"/>
    <mergeCell ref="A21:A23"/>
    <mergeCell ref="B21:B23"/>
    <mergeCell ref="K21:K22"/>
    <mergeCell ref="N27:N29"/>
    <mergeCell ref="A31:A34"/>
    <mergeCell ref="B31:B34"/>
    <mergeCell ref="K31:K34"/>
    <mergeCell ref="A36:A37"/>
    <mergeCell ref="A39:A40"/>
    <mergeCell ref="B39:B40"/>
    <mergeCell ref="A25:A26"/>
    <mergeCell ref="B25:B26"/>
    <mergeCell ref="K25:K26"/>
  </mergeCells>
  <printOptions horizontalCentered="1"/>
  <pageMargins left="0.23622047244094491" right="0.23622047244094491" top="0.51181102362204722" bottom="0.74803149606299213" header="0.31496062992125984" footer="0.31496062992125984"/>
  <pageSetup paperSize="9" scale="7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E54"/>
  <sheetViews>
    <sheetView zoomScale="95" zoomScaleNormal="95" zoomScalePageLayoutView="95" workbookViewId="0">
      <selection activeCell="C54" sqref="C54"/>
    </sheetView>
  </sheetViews>
  <sheetFormatPr defaultColWidth="8.85546875" defaultRowHeight="15"/>
  <cols>
    <col min="1" max="1" width="46.42578125" customWidth="1"/>
    <col min="2" max="2" width="38.42578125" customWidth="1"/>
    <col min="3" max="3" width="36.42578125" customWidth="1"/>
    <col min="4" max="4" width="25.85546875" customWidth="1"/>
    <col min="5" max="5" width="37.42578125" customWidth="1"/>
  </cols>
  <sheetData>
    <row r="2" spans="1:5" ht="15" customHeight="1">
      <c r="A2" s="459" t="s">
        <v>141</v>
      </c>
      <c r="B2" s="459"/>
      <c r="C2" s="459"/>
      <c r="D2" s="459"/>
      <c r="E2" s="459"/>
    </row>
    <row r="4" spans="1:5" ht="30">
      <c r="A4" s="171" t="s">
        <v>151</v>
      </c>
      <c r="B4" s="171" t="s">
        <v>142</v>
      </c>
      <c r="C4" s="171" t="s">
        <v>152</v>
      </c>
      <c r="D4" s="171" t="s">
        <v>205</v>
      </c>
      <c r="E4" s="172" t="s">
        <v>206</v>
      </c>
    </row>
    <row r="5" spans="1:5" ht="21.2" customHeight="1">
      <c r="A5" s="180" t="s">
        <v>144</v>
      </c>
      <c r="B5" s="181">
        <f>SUM(B6:B13)</f>
        <v>6396753740</v>
      </c>
      <c r="C5" s="179"/>
      <c r="D5" s="179"/>
      <c r="E5" s="179"/>
    </row>
    <row r="6" spans="1:5" ht="45">
      <c r="A6" s="177" t="s">
        <v>145</v>
      </c>
      <c r="B6" s="178">
        <v>3272490992</v>
      </c>
      <c r="C6" s="176" t="s">
        <v>169</v>
      </c>
      <c r="D6" s="6" t="s">
        <v>139</v>
      </c>
      <c r="E6" s="176" t="s">
        <v>13</v>
      </c>
    </row>
    <row r="7" spans="1:5" ht="45">
      <c r="A7" s="177" t="s">
        <v>146</v>
      </c>
      <c r="B7" s="178">
        <v>1855280485</v>
      </c>
      <c r="C7" s="176" t="s">
        <v>169</v>
      </c>
      <c r="D7" s="6" t="s">
        <v>139</v>
      </c>
      <c r="E7" s="176" t="s">
        <v>143</v>
      </c>
    </row>
    <row r="8" spans="1:5" ht="45">
      <c r="A8" s="177" t="s">
        <v>210</v>
      </c>
      <c r="B8" s="178">
        <v>330972729</v>
      </c>
      <c r="C8" s="176" t="s">
        <v>169</v>
      </c>
      <c r="D8" s="6" t="s">
        <v>140</v>
      </c>
      <c r="E8" s="176" t="s">
        <v>147</v>
      </c>
    </row>
    <row r="9" spans="1:5" ht="36" customHeight="1">
      <c r="A9" s="174" t="s">
        <v>148</v>
      </c>
      <c r="B9" s="178">
        <v>682666667</v>
      </c>
      <c r="C9" s="176" t="s">
        <v>169</v>
      </c>
      <c r="D9" s="3" t="s">
        <v>139</v>
      </c>
      <c r="E9" s="176" t="s">
        <v>7</v>
      </c>
    </row>
    <row r="10" spans="1:5" ht="49.7" customHeight="1">
      <c r="A10" s="174" t="s">
        <v>149</v>
      </c>
      <c r="B10" s="178">
        <v>53427677</v>
      </c>
      <c r="C10" s="176" t="s">
        <v>169</v>
      </c>
      <c r="D10" s="4" t="s">
        <v>150</v>
      </c>
      <c r="E10" s="176" t="s">
        <v>155</v>
      </c>
    </row>
    <row r="11" spans="1:5" ht="34.5" customHeight="1">
      <c r="A11" s="174" t="s">
        <v>153</v>
      </c>
      <c r="B11" s="178">
        <v>95419836</v>
      </c>
      <c r="C11" s="176" t="s">
        <v>169</v>
      </c>
      <c r="D11" s="4" t="s">
        <v>154</v>
      </c>
      <c r="E11" s="176" t="s">
        <v>156</v>
      </c>
    </row>
    <row r="12" spans="1:5" ht="45">
      <c r="A12" s="174" t="s">
        <v>209</v>
      </c>
      <c r="B12" s="178">
        <v>85196283</v>
      </c>
      <c r="C12" s="176" t="s">
        <v>169</v>
      </c>
      <c r="D12" s="6" t="s">
        <v>140</v>
      </c>
      <c r="E12" s="176" t="s">
        <v>157</v>
      </c>
    </row>
    <row r="13" spans="1:5" ht="45">
      <c r="A13" s="174" t="s">
        <v>208</v>
      </c>
      <c r="B13" s="178">
        <v>21299071</v>
      </c>
      <c r="C13" s="176" t="s">
        <v>169</v>
      </c>
      <c r="D13" s="6" t="s">
        <v>140</v>
      </c>
      <c r="E13" s="176" t="s">
        <v>158</v>
      </c>
    </row>
    <row r="14" spans="1:5" ht="30.75" customHeight="1">
      <c r="A14" s="180" t="s">
        <v>159</v>
      </c>
      <c r="B14" s="181">
        <f>SUM(B15:B24)</f>
        <v>4198702539</v>
      </c>
      <c r="C14" s="179"/>
      <c r="D14" s="179"/>
      <c r="E14" s="179"/>
    </row>
    <row r="15" spans="1:5" ht="45">
      <c r="A15" s="175" t="s">
        <v>160</v>
      </c>
      <c r="B15" s="178">
        <v>351857279</v>
      </c>
      <c r="C15" s="176" t="s">
        <v>169</v>
      </c>
      <c r="D15" s="3" t="s">
        <v>161</v>
      </c>
      <c r="E15" s="176" t="s">
        <v>165</v>
      </c>
    </row>
    <row r="16" spans="1:5" ht="36" customHeight="1">
      <c r="A16" s="175" t="s">
        <v>164</v>
      </c>
      <c r="B16" s="178">
        <v>2846845260</v>
      </c>
      <c r="C16" s="176" t="s">
        <v>169</v>
      </c>
      <c r="D16" s="3" t="s">
        <v>162</v>
      </c>
      <c r="E16" s="176" t="s">
        <v>166</v>
      </c>
    </row>
    <row r="17" spans="1:5" ht="60">
      <c r="A17" s="175" t="s">
        <v>163</v>
      </c>
      <c r="B17" s="178">
        <v>240094118</v>
      </c>
      <c r="C17" s="173" t="s">
        <v>170</v>
      </c>
      <c r="D17" s="3" t="s">
        <v>161</v>
      </c>
      <c r="E17" s="176" t="s">
        <v>167</v>
      </c>
    </row>
    <row r="18" spans="1:5" ht="30">
      <c r="A18" s="175" t="s">
        <v>168</v>
      </c>
      <c r="B18" s="178">
        <v>75200000</v>
      </c>
      <c r="C18" s="173" t="s">
        <v>170</v>
      </c>
      <c r="D18" s="5" t="s">
        <v>171</v>
      </c>
      <c r="E18" s="176" t="s">
        <v>172</v>
      </c>
    </row>
    <row r="19" spans="1:5" ht="45">
      <c r="A19" s="175" t="s">
        <v>173</v>
      </c>
      <c r="B19" s="178">
        <v>15294118</v>
      </c>
      <c r="C19" s="176" t="s">
        <v>169</v>
      </c>
      <c r="D19" s="5" t="s">
        <v>161</v>
      </c>
      <c r="E19" s="176" t="s">
        <v>10</v>
      </c>
    </row>
    <row r="20" spans="1:5" ht="45">
      <c r="A20" s="175" t="s">
        <v>174</v>
      </c>
      <c r="B20" s="178">
        <v>140000000</v>
      </c>
      <c r="C20" s="173" t="s">
        <v>170</v>
      </c>
      <c r="D20" s="5" t="s">
        <v>140</v>
      </c>
      <c r="E20" s="176" t="s">
        <v>175</v>
      </c>
    </row>
    <row r="21" spans="1:5" ht="45">
      <c r="A21" s="175" t="s">
        <v>176</v>
      </c>
      <c r="B21" s="457">
        <v>402352941</v>
      </c>
      <c r="C21" s="176" t="s">
        <v>169</v>
      </c>
      <c r="D21" s="4" t="s">
        <v>140</v>
      </c>
      <c r="E21" s="176" t="s">
        <v>177</v>
      </c>
    </row>
    <row r="22" spans="1:5" ht="45">
      <c r="A22" s="175" t="s">
        <v>178</v>
      </c>
      <c r="B22" s="458"/>
      <c r="C22" s="176" t="s">
        <v>169</v>
      </c>
      <c r="D22" s="4" t="s">
        <v>180</v>
      </c>
      <c r="E22" s="176" t="s">
        <v>179</v>
      </c>
    </row>
    <row r="23" spans="1:5" ht="45">
      <c r="A23" s="175" t="s">
        <v>181</v>
      </c>
      <c r="B23" s="178">
        <v>47000000</v>
      </c>
      <c r="C23" s="176" t="s">
        <v>169</v>
      </c>
      <c r="D23" s="4" t="s">
        <v>183</v>
      </c>
      <c r="E23" s="176" t="s">
        <v>182</v>
      </c>
    </row>
    <row r="24" spans="1:5" ht="45">
      <c r="A24" s="175" t="s">
        <v>184</v>
      </c>
      <c r="B24" s="178">
        <v>80058823</v>
      </c>
      <c r="C24" s="176" t="s">
        <v>169</v>
      </c>
      <c r="D24" s="4" t="s">
        <v>180</v>
      </c>
      <c r="E24" s="176" t="s">
        <v>182</v>
      </c>
    </row>
    <row r="25" spans="1:5" ht="27" customHeight="1">
      <c r="A25" s="180" t="s">
        <v>207</v>
      </c>
      <c r="B25" s="181">
        <f>SUM(B26:B32)</f>
        <v>569347057</v>
      </c>
      <c r="C25" s="179"/>
      <c r="D25" s="179"/>
      <c r="E25" s="179"/>
    </row>
    <row r="26" spans="1:5" ht="30">
      <c r="A26" s="175" t="s">
        <v>185</v>
      </c>
      <c r="B26" s="178">
        <v>83858823</v>
      </c>
      <c r="C26" s="170" t="s">
        <v>170</v>
      </c>
      <c r="D26" s="3" t="s">
        <v>140</v>
      </c>
      <c r="E26" s="170" t="s">
        <v>23</v>
      </c>
    </row>
    <row r="27" spans="1:5" ht="30">
      <c r="A27" s="175" t="s">
        <v>186</v>
      </c>
      <c r="B27" s="178">
        <v>20964706</v>
      </c>
      <c r="C27" s="170" t="s">
        <v>170</v>
      </c>
      <c r="D27" s="3" t="s">
        <v>140</v>
      </c>
      <c r="E27" s="170" t="s">
        <v>24</v>
      </c>
    </row>
    <row r="28" spans="1:5" ht="45">
      <c r="A28" s="175" t="s">
        <v>187</v>
      </c>
      <c r="B28" s="178">
        <v>11752941</v>
      </c>
      <c r="C28" s="170" t="s">
        <v>170</v>
      </c>
      <c r="D28" s="3" t="s">
        <v>140</v>
      </c>
      <c r="E28" s="170" t="s">
        <v>189</v>
      </c>
    </row>
    <row r="29" spans="1:5" ht="30">
      <c r="A29" s="175" t="s">
        <v>188</v>
      </c>
      <c r="B29" s="178">
        <v>38117647</v>
      </c>
      <c r="C29" s="170" t="s">
        <v>138</v>
      </c>
      <c r="D29" s="3" t="s">
        <v>140</v>
      </c>
      <c r="E29" s="170" t="s">
        <v>211</v>
      </c>
    </row>
    <row r="30" spans="1:5">
      <c r="A30" s="175" t="s">
        <v>190</v>
      </c>
      <c r="B30" s="178">
        <v>63529412</v>
      </c>
      <c r="C30" s="170" t="s">
        <v>170</v>
      </c>
      <c r="D30" s="3" t="s">
        <v>140</v>
      </c>
      <c r="E30" s="170" t="s">
        <v>191</v>
      </c>
    </row>
    <row r="31" spans="1:5" ht="30">
      <c r="A31" s="175" t="s">
        <v>192</v>
      </c>
      <c r="B31" s="178">
        <v>275894118</v>
      </c>
      <c r="C31" s="170" t="s">
        <v>138</v>
      </c>
      <c r="D31" s="3" t="s">
        <v>139</v>
      </c>
      <c r="E31" s="176" t="s">
        <v>193</v>
      </c>
    </row>
    <row r="32" spans="1:5" ht="30">
      <c r="A32" s="175" t="s">
        <v>194</v>
      </c>
      <c r="B32" s="178">
        <v>75229410</v>
      </c>
      <c r="C32" s="170" t="s">
        <v>138</v>
      </c>
      <c r="D32" s="3" t="s">
        <v>139</v>
      </c>
      <c r="E32" s="176" t="s">
        <v>195</v>
      </c>
    </row>
    <row r="34" spans="1:5">
      <c r="A34" s="185" t="s">
        <v>196</v>
      </c>
      <c r="B34" s="186">
        <f>B15+B16+B17+B19+B23</f>
        <v>3501090775</v>
      </c>
      <c r="C34" s="187" t="s">
        <v>199</v>
      </c>
      <c r="D34" s="188"/>
      <c r="E34" s="188"/>
    </row>
    <row r="35" spans="1:5">
      <c r="C35" s="184" t="s">
        <v>197</v>
      </c>
      <c r="D35" s="183">
        <v>0</v>
      </c>
    </row>
    <row r="36" spans="1:5">
      <c r="C36" s="184" t="s">
        <v>198</v>
      </c>
      <c r="D36" s="182">
        <f>B15+B16+B17+B19+B23</f>
        <v>3501090775</v>
      </c>
    </row>
    <row r="37" spans="1:5">
      <c r="C37" s="184" t="s">
        <v>200</v>
      </c>
      <c r="D37" s="183">
        <v>0</v>
      </c>
    </row>
    <row r="38" spans="1:5">
      <c r="A38" s="185" t="s">
        <v>201</v>
      </c>
      <c r="B38" s="186">
        <f>B6+B7+B9+B31+B32</f>
        <v>6161561672</v>
      </c>
      <c r="C38" s="187" t="s">
        <v>199</v>
      </c>
      <c r="D38" s="190"/>
      <c r="E38" s="190"/>
    </row>
    <row r="39" spans="1:5">
      <c r="C39" s="184" t="s">
        <v>197</v>
      </c>
      <c r="D39" s="182">
        <f>B6+B7+B9</f>
        <v>5810438144</v>
      </c>
      <c r="E39" s="189"/>
    </row>
    <row r="40" spans="1:5">
      <c r="C40" s="184" t="s">
        <v>198</v>
      </c>
      <c r="D40" s="182">
        <v>0</v>
      </c>
    </row>
    <row r="41" spans="1:5">
      <c r="C41" s="184" t="s">
        <v>200</v>
      </c>
      <c r="D41" s="182">
        <f>B32+B31</f>
        <v>351123528</v>
      </c>
    </row>
    <row r="42" spans="1:5">
      <c r="A42" s="185" t="s">
        <v>202</v>
      </c>
      <c r="B42" s="186">
        <f>B8+B12+B13+B20+B21+B26+B27+B28+B29+B30</f>
        <v>1198044553</v>
      </c>
      <c r="C42" s="187" t="s">
        <v>199</v>
      </c>
      <c r="D42" s="188"/>
      <c r="E42" s="188"/>
    </row>
    <row r="43" spans="1:5">
      <c r="C43" s="184" t="s">
        <v>197</v>
      </c>
      <c r="D43" s="182">
        <f>B8+B12+B13</f>
        <v>437468083</v>
      </c>
    </row>
    <row r="44" spans="1:5">
      <c r="C44" s="184" t="s">
        <v>198</v>
      </c>
      <c r="D44" s="182">
        <f>B21+B20</f>
        <v>542352941</v>
      </c>
    </row>
    <row r="45" spans="1:5">
      <c r="C45" s="184" t="s">
        <v>200</v>
      </c>
      <c r="D45" s="182">
        <f>B26+B27+B28+B29+B30</f>
        <v>218223529</v>
      </c>
    </row>
    <row r="46" spans="1:5">
      <c r="A46" s="185" t="s">
        <v>203</v>
      </c>
      <c r="B46" s="186">
        <f>B10+B11</f>
        <v>148847513</v>
      </c>
      <c r="C46" s="187" t="s">
        <v>199</v>
      </c>
      <c r="D46" s="188"/>
      <c r="E46" s="188"/>
    </row>
    <row r="47" spans="1:5">
      <c r="C47" s="184" t="s">
        <v>197</v>
      </c>
      <c r="D47" s="182">
        <f>B10+B11</f>
        <v>148847513</v>
      </c>
    </row>
    <row r="48" spans="1:5">
      <c r="C48" s="184" t="s">
        <v>198</v>
      </c>
      <c r="D48" s="182">
        <v>0</v>
      </c>
    </row>
    <row r="49" spans="1:5">
      <c r="C49" s="184" t="s">
        <v>200</v>
      </c>
      <c r="D49" s="182">
        <v>0</v>
      </c>
    </row>
    <row r="50" spans="1:5">
      <c r="A50" s="185" t="s">
        <v>204</v>
      </c>
      <c r="B50" s="186">
        <f>B24+B18</f>
        <v>155258823</v>
      </c>
      <c r="C50" s="187" t="s">
        <v>199</v>
      </c>
      <c r="D50" s="188"/>
      <c r="E50" s="188"/>
    </row>
    <row r="51" spans="1:5">
      <c r="C51" s="184" t="s">
        <v>197</v>
      </c>
      <c r="D51" s="182">
        <v>0</v>
      </c>
    </row>
    <row r="52" spans="1:5">
      <c r="C52" s="184" t="s">
        <v>198</v>
      </c>
      <c r="D52" s="182">
        <f>B18+B24</f>
        <v>155258823</v>
      </c>
    </row>
    <row r="53" spans="1:5">
      <c r="C53" s="184" t="s">
        <v>200</v>
      </c>
      <c r="D53" s="182">
        <v>0</v>
      </c>
    </row>
    <row r="54" spans="1:5">
      <c r="B54" s="189">
        <f>B34+B6+B7+B9+B12+B13+B32+B31</f>
        <v>9769147801</v>
      </c>
    </row>
  </sheetData>
  <mergeCells count="2">
    <mergeCell ref="B21:B22"/>
    <mergeCell ref="A2:E2"/>
  </mergeCells>
  <phoneticPr fontId="37" type="noConversion"/>
  <pageMargins left="0.70866141732283472" right="0.70866141732283472" top="0.47244094488188981" bottom="0.47244094488188981" header="0.14000000000000001" footer="0.31496062992125984"/>
  <pageSetup paperSize="9" scale="71"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X88"/>
  <sheetViews>
    <sheetView topLeftCell="A4" zoomScale="55" zoomScaleNormal="55" zoomScaleSheetLayoutView="115" zoomScalePageLayoutView="55" workbookViewId="0">
      <selection activeCell="E23" sqref="E23"/>
    </sheetView>
  </sheetViews>
  <sheetFormatPr defaultColWidth="8.85546875" defaultRowHeight="15"/>
  <cols>
    <col min="2" max="2" width="39.42578125" customWidth="1"/>
    <col min="3" max="3" width="39.42578125" hidden="1" customWidth="1"/>
    <col min="4" max="4" width="16.7109375" customWidth="1"/>
    <col min="5" max="5" width="12.140625" customWidth="1"/>
    <col min="6" max="6" width="12" customWidth="1"/>
    <col min="7" max="7" width="10.28515625" customWidth="1"/>
    <col min="8" max="8" width="12.7109375" customWidth="1"/>
    <col min="9" max="9" width="9.42578125" customWidth="1"/>
    <col min="10" max="10" width="7.42578125" customWidth="1"/>
    <col min="11" max="11" width="13.85546875" customWidth="1"/>
    <col min="12" max="12" width="12.7109375" customWidth="1"/>
    <col min="13" max="13" width="9.42578125" style="2" customWidth="1"/>
    <col min="14" max="14" width="5.7109375" customWidth="1"/>
    <col min="15" max="15" width="8.85546875" customWidth="1"/>
    <col min="16" max="16" width="12.140625" customWidth="1"/>
    <col min="17" max="17" width="12" style="2" customWidth="1"/>
    <col min="18" max="18" width="5.85546875" customWidth="1"/>
    <col min="19" max="19" width="13.140625" style="257" customWidth="1"/>
    <col min="20" max="20" width="16.140625" style="257" customWidth="1"/>
    <col min="21" max="21" width="12.42578125" style="257" customWidth="1"/>
    <col min="22" max="22" width="5.7109375" customWidth="1"/>
    <col min="23" max="23" width="12.7109375" customWidth="1"/>
    <col min="24" max="24" width="11.28515625" customWidth="1"/>
    <col min="25" max="25" width="10.140625" customWidth="1"/>
    <col min="26" max="26" width="8.42578125" customWidth="1"/>
    <col min="27" max="27" width="9.85546875" customWidth="1"/>
    <col min="28" max="28" width="9.140625" customWidth="1"/>
    <col min="29" max="29" width="9.7109375" customWidth="1"/>
    <col min="30" max="30" width="6.140625" customWidth="1"/>
    <col min="31" max="31" width="8.7109375" customWidth="1"/>
    <col min="32" max="32" width="12.28515625" customWidth="1"/>
    <col min="33" max="33" width="14.42578125" customWidth="1"/>
    <col min="34" max="34" width="6.28515625" customWidth="1"/>
    <col min="35" max="35" width="9.140625" customWidth="1"/>
    <col min="36" max="36" width="12.85546875" customWidth="1"/>
    <col min="37" max="38" width="13.7109375" customWidth="1"/>
    <col min="39" max="39" width="19.140625" customWidth="1"/>
    <col min="40" max="40" width="6.42578125" customWidth="1"/>
    <col min="41" max="41" width="9.42578125" customWidth="1"/>
    <col min="42" max="42" width="11.28515625" customWidth="1"/>
    <col min="43" max="43" width="5.42578125" customWidth="1"/>
    <col min="44" max="44" width="8" customWidth="1"/>
    <col min="45" max="45" width="12.7109375" customWidth="1"/>
    <col min="46" max="46" width="18.7109375" customWidth="1"/>
    <col min="49" max="49" width="11.28515625" customWidth="1"/>
    <col min="50" max="50" width="20.42578125" customWidth="1"/>
  </cols>
  <sheetData>
    <row r="1" spans="1:50">
      <c r="S1" s="2"/>
      <c r="T1" s="2"/>
      <c r="U1" s="2"/>
      <c r="V1" s="2"/>
    </row>
    <row r="2" spans="1:50">
      <c r="S2" s="2"/>
      <c r="T2" s="2"/>
      <c r="U2" s="2"/>
      <c r="V2" s="2"/>
    </row>
    <row r="3" spans="1:50">
      <c r="M3"/>
      <c r="Q3"/>
      <c r="S3"/>
      <c r="T3"/>
      <c r="U3"/>
      <c r="AX3" t="s">
        <v>218</v>
      </c>
    </row>
    <row r="4" spans="1:50">
      <c r="M4"/>
      <c r="Q4"/>
      <c r="S4"/>
      <c r="T4"/>
      <c r="U4"/>
    </row>
    <row r="5" spans="1:50">
      <c r="A5" t="s">
        <v>219</v>
      </c>
      <c r="M5"/>
      <c r="Q5"/>
      <c r="S5"/>
      <c r="T5"/>
      <c r="U5"/>
    </row>
    <row r="6" spans="1:50">
      <c r="M6"/>
      <c r="Q6"/>
      <c r="S6"/>
      <c r="T6"/>
      <c r="U6"/>
    </row>
    <row r="7" spans="1:50">
      <c r="M7"/>
      <c r="Q7"/>
      <c r="S7"/>
      <c r="T7"/>
      <c r="U7"/>
    </row>
    <row r="8" spans="1:50" ht="15.75" thickBot="1">
      <c r="B8" t="s">
        <v>220</v>
      </c>
      <c r="M8"/>
      <c r="Q8"/>
      <c r="S8"/>
      <c r="T8"/>
      <c r="U8"/>
    </row>
    <row r="9" spans="1:50" ht="57.2" customHeight="1">
      <c r="A9" s="463" t="s">
        <v>136</v>
      </c>
      <c r="B9" s="460" t="s">
        <v>221</v>
      </c>
      <c r="C9" s="466" t="s">
        <v>222</v>
      </c>
      <c r="D9" s="460" t="s">
        <v>223</v>
      </c>
      <c r="E9" s="469" t="s">
        <v>224</v>
      </c>
      <c r="F9" s="470"/>
      <c r="G9" s="470"/>
      <c r="H9" s="470"/>
      <c r="I9" s="460" t="s">
        <v>225</v>
      </c>
      <c r="J9" s="469" t="s">
        <v>226</v>
      </c>
      <c r="K9" s="469"/>
      <c r="L9" s="469"/>
      <c r="M9" s="485"/>
      <c r="N9" s="469" t="s">
        <v>227</v>
      </c>
      <c r="O9" s="470"/>
      <c r="P9" s="470"/>
      <c r="Q9" s="470"/>
      <c r="R9" s="486" t="s">
        <v>228</v>
      </c>
      <c r="S9" s="486"/>
      <c r="T9" s="486"/>
      <c r="U9" s="487"/>
      <c r="V9" s="469" t="s">
        <v>229</v>
      </c>
      <c r="W9" s="469"/>
      <c r="X9" s="469"/>
      <c r="Y9" s="469"/>
      <c r="Z9" s="469"/>
      <c r="AA9" s="469"/>
      <c r="AB9" s="469"/>
      <c r="AC9" s="469"/>
      <c r="AD9" s="469" t="s">
        <v>230</v>
      </c>
      <c r="AE9" s="469"/>
      <c r="AF9" s="469"/>
      <c r="AG9" s="485"/>
      <c r="AH9" s="469" t="s">
        <v>231</v>
      </c>
      <c r="AI9" s="469"/>
      <c r="AJ9" s="469"/>
      <c r="AK9" s="485"/>
      <c r="AL9" s="471" t="s">
        <v>232</v>
      </c>
      <c r="AM9" s="471"/>
      <c r="AN9" s="460" t="s">
        <v>233</v>
      </c>
      <c r="AO9" s="460"/>
      <c r="AP9" s="460"/>
      <c r="AQ9" s="460"/>
      <c r="AR9" s="460"/>
      <c r="AS9" s="460"/>
      <c r="AT9" s="460"/>
      <c r="AU9" s="460"/>
      <c r="AV9" s="460"/>
      <c r="AW9" s="460"/>
      <c r="AX9" s="472"/>
    </row>
    <row r="10" spans="1:50" ht="56.25" customHeight="1">
      <c r="A10" s="464"/>
      <c r="B10" s="461"/>
      <c r="C10" s="467"/>
      <c r="D10" s="461"/>
      <c r="E10" s="473" t="s">
        <v>234</v>
      </c>
      <c r="F10" s="474"/>
      <c r="G10" s="477" t="s">
        <v>235</v>
      </c>
      <c r="H10" s="478"/>
      <c r="I10" s="461"/>
      <c r="J10" s="477" t="s">
        <v>236</v>
      </c>
      <c r="K10" s="477" t="s">
        <v>237</v>
      </c>
      <c r="L10" s="477" t="s">
        <v>238</v>
      </c>
      <c r="M10" s="482" t="s">
        <v>239</v>
      </c>
      <c r="N10" s="477" t="s">
        <v>236</v>
      </c>
      <c r="O10" s="477" t="s">
        <v>240</v>
      </c>
      <c r="P10" s="477" t="s">
        <v>238</v>
      </c>
      <c r="Q10" s="491" t="s">
        <v>241</v>
      </c>
      <c r="R10" s="491" t="s">
        <v>236</v>
      </c>
      <c r="S10" s="491" t="s">
        <v>237</v>
      </c>
      <c r="T10" s="491" t="s">
        <v>238</v>
      </c>
      <c r="U10" s="491" t="s">
        <v>242</v>
      </c>
      <c r="V10" s="477" t="s">
        <v>236</v>
      </c>
      <c r="W10" s="477" t="s">
        <v>243</v>
      </c>
      <c r="X10" s="495" t="s">
        <v>244</v>
      </c>
      <c r="Y10" s="495" t="s">
        <v>245</v>
      </c>
      <c r="Z10" s="495"/>
      <c r="AA10" s="495" t="s">
        <v>246</v>
      </c>
      <c r="AB10" s="488" t="s">
        <v>247</v>
      </c>
      <c r="AC10" s="488" t="s">
        <v>248</v>
      </c>
      <c r="AD10" s="477" t="s">
        <v>236</v>
      </c>
      <c r="AE10" s="477" t="s">
        <v>249</v>
      </c>
      <c r="AF10" s="477" t="s">
        <v>238</v>
      </c>
      <c r="AG10" s="488" t="s">
        <v>250</v>
      </c>
      <c r="AH10" s="477" t="s">
        <v>236</v>
      </c>
      <c r="AI10" s="477" t="s">
        <v>240</v>
      </c>
      <c r="AJ10" s="477" t="s">
        <v>238</v>
      </c>
      <c r="AK10" s="488" t="s">
        <v>251</v>
      </c>
      <c r="AL10" s="477" t="s">
        <v>236</v>
      </c>
      <c r="AM10" s="497" t="s">
        <v>252</v>
      </c>
      <c r="AN10" s="461" t="s">
        <v>253</v>
      </c>
      <c r="AO10" s="461"/>
      <c r="AP10" s="461"/>
      <c r="AQ10" s="461" t="s">
        <v>254</v>
      </c>
      <c r="AR10" s="461"/>
      <c r="AS10" s="461"/>
      <c r="AT10" s="505"/>
      <c r="AU10" s="461" t="s">
        <v>255</v>
      </c>
      <c r="AV10" s="461"/>
      <c r="AW10" s="461"/>
      <c r="AX10" s="506"/>
    </row>
    <row r="11" spans="1:50" ht="21.2" customHeight="1">
      <c r="A11" s="464"/>
      <c r="B11" s="461"/>
      <c r="C11" s="467"/>
      <c r="D11" s="461"/>
      <c r="E11" s="475"/>
      <c r="F11" s="476"/>
      <c r="G11" s="478"/>
      <c r="H11" s="478"/>
      <c r="I11" s="461"/>
      <c r="J11" s="477"/>
      <c r="K11" s="477"/>
      <c r="L11" s="480"/>
      <c r="M11" s="483"/>
      <c r="N11" s="480"/>
      <c r="O11" s="477"/>
      <c r="P11" s="480"/>
      <c r="Q11" s="492"/>
      <c r="R11" s="491"/>
      <c r="S11" s="491"/>
      <c r="T11" s="492"/>
      <c r="U11" s="492"/>
      <c r="V11" s="477"/>
      <c r="W11" s="477"/>
      <c r="X11" s="495"/>
      <c r="Y11" s="495" t="s">
        <v>256</v>
      </c>
      <c r="Z11" s="495" t="s">
        <v>257</v>
      </c>
      <c r="AA11" s="495"/>
      <c r="AB11" s="489"/>
      <c r="AC11" s="489"/>
      <c r="AD11" s="477"/>
      <c r="AE11" s="477"/>
      <c r="AF11" s="480"/>
      <c r="AG11" s="489"/>
      <c r="AH11" s="477"/>
      <c r="AI11" s="477"/>
      <c r="AJ11" s="480"/>
      <c r="AK11" s="489"/>
      <c r="AL11" s="477"/>
      <c r="AM11" s="497"/>
      <c r="AN11" s="461" t="s">
        <v>236</v>
      </c>
      <c r="AO11" s="461" t="s">
        <v>240</v>
      </c>
      <c r="AP11" s="461" t="s">
        <v>238</v>
      </c>
      <c r="AQ11" s="461" t="s">
        <v>236</v>
      </c>
      <c r="AR11" s="461" t="s">
        <v>258</v>
      </c>
      <c r="AS11" s="461" t="s">
        <v>238</v>
      </c>
      <c r="AT11" s="508" t="s">
        <v>259</v>
      </c>
      <c r="AU11" s="461" t="s">
        <v>236</v>
      </c>
      <c r="AV11" s="461" t="s">
        <v>240</v>
      </c>
      <c r="AW11" s="461" t="s">
        <v>238</v>
      </c>
      <c r="AX11" s="510" t="s">
        <v>260</v>
      </c>
    </row>
    <row r="12" spans="1:50" ht="42.75" customHeight="1" thickBot="1">
      <c r="A12" s="465"/>
      <c r="B12" s="462"/>
      <c r="C12" s="468"/>
      <c r="D12" s="462"/>
      <c r="E12" s="193" t="s">
        <v>261</v>
      </c>
      <c r="F12" s="193" t="s">
        <v>262</v>
      </c>
      <c r="G12" s="193" t="s">
        <v>261</v>
      </c>
      <c r="H12" s="193" t="s">
        <v>262</v>
      </c>
      <c r="I12" s="462"/>
      <c r="J12" s="479"/>
      <c r="K12" s="479"/>
      <c r="L12" s="481"/>
      <c r="M12" s="484"/>
      <c r="N12" s="481"/>
      <c r="O12" s="479"/>
      <c r="P12" s="481"/>
      <c r="Q12" s="493"/>
      <c r="R12" s="494"/>
      <c r="S12" s="494"/>
      <c r="T12" s="493"/>
      <c r="U12" s="493"/>
      <c r="V12" s="479"/>
      <c r="W12" s="479"/>
      <c r="X12" s="496"/>
      <c r="Y12" s="507"/>
      <c r="Z12" s="507"/>
      <c r="AA12" s="496"/>
      <c r="AB12" s="490"/>
      <c r="AC12" s="490"/>
      <c r="AD12" s="479"/>
      <c r="AE12" s="479"/>
      <c r="AF12" s="481"/>
      <c r="AG12" s="490"/>
      <c r="AH12" s="479"/>
      <c r="AI12" s="479"/>
      <c r="AJ12" s="481"/>
      <c r="AK12" s="490"/>
      <c r="AL12" s="479"/>
      <c r="AM12" s="498"/>
      <c r="AN12" s="462"/>
      <c r="AO12" s="462"/>
      <c r="AP12" s="462"/>
      <c r="AQ12" s="462"/>
      <c r="AR12" s="462"/>
      <c r="AS12" s="462"/>
      <c r="AT12" s="509"/>
      <c r="AU12" s="462"/>
      <c r="AV12" s="462"/>
      <c r="AW12" s="462"/>
      <c r="AX12" s="511"/>
    </row>
    <row r="13" spans="1:50" ht="15.75" thickBot="1">
      <c r="A13" s="194">
        <v>0</v>
      </c>
      <c r="B13" s="195">
        <v>1</v>
      </c>
      <c r="C13" s="195"/>
      <c r="D13" s="195">
        <v>2</v>
      </c>
      <c r="E13" s="195">
        <v>3</v>
      </c>
      <c r="F13" s="195">
        <v>4</v>
      </c>
      <c r="G13" s="195">
        <v>5</v>
      </c>
      <c r="H13" s="195">
        <v>6</v>
      </c>
      <c r="I13" s="195">
        <v>7</v>
      </c>
      <c r="J13" s="195">
        <v>8</v>
      </c>
      <c r="K13" s="195">
        <v>9</v>
      </c>
      <c r="L13" s="195">
        <v>10</v>
      </c>
      <c r="M13" s="196" t="s">
        <v>263</v>
      </c>
      <c r="N13" s="195">
        <v>12</v>
      </c>
      <c r="O13" s="195">
        <v>13</v>
      </c>
      <c r="P13" s="195">
        <v>14</v>
      </c>
      <c r="Q13" s="197" t="s">
        <v>264</v>
      </c>
      <c r="R13" s="197">
        <v>16</v>
      </c>
      <c r="S13" s="197">
        <v>17</v>
      </c>
      <c r="T13" s="197">
        <v>18</v>
      </c>
      <c r="U13" s="197" t="s">
        <v>265</v>
      </c>
      <c r="V13" s="195">
        <v>20</v>
      </c>
      <c r="W13" s="195" t="s">
        <v>266</v>
      </c>
      <c r="X13" s="195" t="s">
        <v>267</v>
      </c>
      <c r="Y13" s="195">
        <v>23</v>
      </c>
      <c r="Z13" s="195">
        <v>24</v>
      </c>
      <c r="AA13" s="195">
        <v>25</v>
      </c>
      <c r="AB13" s="198" t="s">
        <v>268</v>
      </c>
      <c r="AC13" s="198" t="s">
        <v>269</v>
      </c>
      <c r="AD13" s="195">
        <v>28</v>
      </c>
      <c r="AE13" s="195">
        <v>29</v>
      </c>
      <c r="AF13" s="195">
        <v>30</v>
      </c>
      <c r="AG13" s="198" t="s">
        <v>270</v>
      </c>
      <c r="AH13" s="195">
        <v>32</v>
      </c>
      <c r="AI13" s="195">
        <v>33</v>
      </c>
      <c r="AJ13" s="195">
        <v>34</v>
      </c>
      <c r="AK13" s="198" t="s">
        <v>271</v>
      </c>
      <c r="AL13" s="199" t="s">
        <v>272</v>
      </c>
      <c r="AM13" s="200" t="s">
        <v>273</v>
      </c>
      <c r="AN13" s="195">
        <v>38</v>
      </c>
      <c r="AO13" s="195">
        <v>39</v>
      </c>
      <c r="AP13" s="195">
        <v>40</v>
      </c>
      <c r="AQ13" s="195">
        <v>41</v>
      </c>
      <c r="AR13" s="195">
        <v>42</v>
      </c>
      <c r="AS13" s="195">
        <v>43</v>
      </c>
      <c r="AT13" s="198" t="s">
        <v>274</v>
      </c>
      <c r="AU13" s="195">
        <v>45</v>
      </c>
      <c r="AV13" s="195">
        <v>46</v>
      </c>
      <c r="AW13" s="195">
        <v>47</v>
      </c>
      <c r="AX13" s="201" t="s">
        <v>275</v>
      </c>
    </row>
    <row r="14" spans="1:50" ht="13.7" customHeight="1">
      <c r="A14" s="499" t="s">
        <v>45</v>
      </c>
      <c r="B14" s="202" t="s">
        <v>276</v>
      </c>
      <c r="C14" s="192"/>
      <c r="D14" s="502" t="s">
        <v>277</v>
      </c>
      <c r="E14" s="203"/>
      <c r="F14" s="204"/>
      <c r="G14" s="204"/>
      <c r="H14" s="204"/>
      <c r="I14" s="204"/>
      <c r="J14" s="204"/>
      <c r="K14" s="205"/>
      <c r="L14" s="205"/>
      <c r="M14" s="206"/>
      <c r="N14" s="192"/>
      <c r="O14" s="192"/>
      <c r="P14" s="192"/>
      <c r="Q14" s="207"/>
      <c r="R14" s="204"/>
      <c r="S14" s="208"/>
      <c r="T14" s="208"/>
      <c r="U14" s="207"/>
      <c r="V14" s="204"/>
      <c r="W14" s="205"/>
      <c r="X14" s="205"/>
      <c r="Y14" s="205"/>
      <c r="Z14" s="205"/>
      <c r="AA14" s="205"/>
      <c r="AB14" s="209"/>
      <c r="AC14" s="209"/>
      <c r="AD14" s="192"/>
      <c r="AE14" s="192"/>
      <c r="AF14" s="192"/>
      <c r="AG14" s="209"/>
      <c r="AH14" s="192"/>
      <c r="AI14" s="192"/>
      <c r="AJ14" s="192"/>
      <c r="AK14" s="209"/>
      <c r="AL14" s="205"/>
      <c r="AM14" s="205"/>
      <c r="AN14" s="192"/>
      <c r="AO14" s="192"/>
      <c r="AP14" s="192"/>
      <c r="AQ14" s="192"/>
      <c r="AR14" s="192"/>
      <c r="AS14" s="192"/>
      <c r="AT14" s="209"/>
      <c r="AU14" s="192"/>
      <c r="AV14" s="192"/>
      <c r="AW14" s="192"/>
      <c r="AX14" s="210"/>
    </row>
    <row r="15" spans="1:50" ht="39" thickBot="1">
      <c r="A15" s="500"/>
      <c r="B15" s="211" t="s">
        <v>32</v>
      </c>
      <c r="C15" s="212" t="s">
        <v>278</v>
      </c>
      <c r="D15" s="503"/>
      <c r="E15" s="204">
        <v>374316255</v>
      </c>
      <c r="F15" s="204">
        <v>1670910330.6900001</v>
      </c>
      <c r="G15" s="204">
        <v>318168816</v>
      </c>
      <c r="H15" s="204">
        <v>1420273777.7</v>
      </c>
      <c r="I15" s="204">
        <v>85</v>
      </c>
      <c r="J15" s="204">
        <v>1</v>
      </c>
      <c r="K15" s="213">
        <v>33539285</v>
      </c>
      <c r="L15" s="205">
        <v>32868499.670000002</v>
      </c>
      <c r="M15" s="206">
        <f>L15/H15*100</f>
        <v>2.3142368877095967</v>
      </c>
      <c r="N15" s="214"/>
      <c r="O15" s="214"/>
      <c r="P15" s="214"/>
      <c r="Q15" s="215"/>
      <c r="R15" s="216">
        <v>1</v>
      </c>
      <c r="S15" s="205">
        <v>33539285</v>
      </c>
      <c r="T15" s="205">
        <v>32868499.670000002</v>
      </c>
      <c r="U15" s="206">
        <f>T15/H15*100</f>
        <v>2.3142368877095967</v>
      </c>
      <c r="V15" s="216"/>
      <c r="W15" s="217"/>
      <c r="X15" s="217"/>
      <c r="Y15" s="217"/>
      <c r="Z15" s="217"/>
      <c r="AA15" s="217"/>
      <c r="AB15" s="218"/>
      <c r="AC15" s="218"/>
      <c r="AD15" s="219"/>
      <c r="AE15" s="219"/>
      <c r="AF15" s="219"/>
      <c r="AG15" s="218"/>
      <c r="AH15" s="219"/>
      <c r="AI15" s="219"/>
      <c r="AJ15" s="219"/>
      <c r="AK15" s="218"/>
      <c r="AL15" s="217"/>
      <c r="AM15" s="217"/>
      <c r="AN15" s="219"/>
      <c r="AO15" s="219"/>
      <c r="AP15" s="219"/>
      <c r="AQ15" s="219"/>
      <c r="AR15" s="219"/>
      <c r="AS15" s="219"/>
      <c r="AT15" s="218"/>
      <c r="AU15" s="219"/>
      <c r="AV15" s="219"/>
      <c r="AW15" s="219"/>
      <c r="AX15" s="220"/>
    </row>
    <row r="16" spans="1:50" ht="29.1" customHeight="1">
      <c r="A16" s="501"/>
      <c r="B16" s="211" t="s">
        <v>279</v>
      </c>
      <c r="C16" s="221" t="s">
        <v>280</v>
      </c>
      <c r="D16" s="504"/>
      <c r="E16" s="204">
        <v>3028558787</v>
      </c>
      <c r="F16" s="204">
        <v>13519183569.200001</v>
      </c>
      <c r="G16" s="204">
        <v>2574274969</v>
      </c>
      <c r="H16" s="204">
        <v>11491306034.1</v>
      </c>
      <c r="I16" s="204">
        <v>85</v>
      </c>
      <c r="J16" s="204">
        <v>1</v>
      </c>
      <c r="K16" s="206">
        <v>4431510</v>
      </c>
      <c r="L16" s="206">
        <v>3766784</v>
      </c>
      <c r="M16" s="206">
        <f>L16/H16*100</f>
        <v>3.2779424626080064E-2</v>
      </c>
      <c r="N16" s="204"/>
      <c r="O16" s="192"/>
      <c r="P16" s="192"/>
      <c r="Q16" s="207"/>
      <c r="R16" s="204">
        <v>1</v>
      </c>
      <c r="S16" s="206">
        <v>4431510</v>
      </c>
      <c r="T16" s="206">
        <v>3766784</v>
      </c>
      <c r="U16" s="222">
        <f>T16/H16*100</f>
        <v>3.2779424626080064E-2</v>
      </c>
      <c r="V16" s="192"/>
      <c r="W16" s="192"/>
      <c r="X16" s="192"/>
      <c r="Y16" s="192"/>
      <c r="Z16" s="192"/>
      <c r="AA16" s="192"/>
      <c r="AB16" s="209"/>
      <c r="AC16" s="209"/>
      <c r="AD16" s="192"/>
      <c r="AE16" s="192"/>
      <c r="AF16" s="192"/>
      <c r="AG16" s="209"/>
      <c r="AH16" s="192"/>
      <c r="AI16" s="192"/>
      <c r="AJ16" s="192"/>
      <c r="AK16" s="209"/>
      <c r="AL16" s="223"/>
      <c r="AM16" s="223"/>
      <c r="AN16" s="192"/>
      <c r="AO16" s="192"/>
      <c r="AP16" s="192"/>
      <c r="AQ16" s="192"/>
      <c r="AR16" s="192"/>
      <c r="AS16" s="192"/>
      <c r="AT16" s="209"/>
      <c r="AU16" s="192"/>
      <c r="AV16" s="192"/>
      <c r="AW16" s="192"/>
      <c r="AX16" s="210"/>
    </row>
    <row r="17" spans="1:50">
      <c r="A17" s="516" t="s">
        <v>46</v>
      </c>
      <c r="B17" s="224" t="s">
        <v>281</v>
      </c>
      <c r="C17" s="224"/>
      <c r="D17" s="503" t="s">
        <v>277</v>
      </c>
      <c r="E17" s="191"/>
      <c r="F17" s="225"/>
      <c r="G17" s="226"/>
      <c r="H17" s="227"/>
      <c r="I17" s="228"/>
      <c r="J17" s="229"/>
      <c r="K17" s="191"/>
      <c r="L17" s="227"/>
      <c r="M17" s="230"/>
      <c r="N17" s="225"/>
      <c r="O17" s="225"/>
      <c r="P17" s="225"/>
      <c r="Q17" s="231"/>
      <c r="R17" s="231"/>
      <c r="S17" s="231"/>
      <c r="T17" s="231"/>
      <c r="U17" s="231"/>
      <c r="V17" s="225"/>
      <c r="W17" s="225"/>
      <c r="X17" s="225"/>
      <c r="Y17" s="225"/>
      <c r="Z17" s="225"/>
      <c r="AA17" s="225"/>
      <c r="AB17" s="232"/>
      <c r="AC17" s="232"/>
      <c r="AD17" s="225"/>
      <c r="AE17" s="225"/>
      <c r="AF17" s="225"/>
      <c r="AG17" s="232"/>
      <c r="AH17" s="225"/>
      <c r="AI17" s="225"/>
      <c r="AJ17" s="225"/>
      <c r="AK17" s="232"/>
      <c r="AL17" s="233"/>
      <c r="AM17" s="233"/>
      <c r="AN17" s="225"/>
      <c r="AO17" s="225"/>
      <c r="AP17" s="225"/>
      <c r="AQ17" s="225"/>
      <c r="AR17" s="225"/>
      <c r="AS17" s="225"/>
      <c r="AT17" s="232"/>
      <c r="AU17" s="225"/>
      <c r="AV17" s="225"/>
      <c r="AW17" s="225"/>
      <c r="AX17" s="234"/>
    </row>
    <row r="18" spans="1:50" ht="26.45" customHeight="1">
      <c r="A18" s="501"/>
      <c r="B18" s="235" t="s">
        <v>33</v>
      </c>
      <c r="C18" s="235"/>
      <c r="D18" s="503"/>
      <c r="E18" s="204">
        <v>335419274</v>
      </c>
      <c r="F18" s="204">
        <f>E18*4.4639</f>
        <v>1497278097.2085998</v>
      </c>
      <c r="G18" s="204">
        <v>285106383</v>
      </c>
      <c r="H18" s="204">
        <f>G18*4.4639</f>
        <v>1272686383.0737</v>
      </c>
      <c r="I18" s="236">
        <v>85</v>
      </c>
      <c r="J18" s="204">
        <v>23</v>
      </c>
      <c r="K18" s="204">
        <v>106121342.40000001</v>
      </c>
      <c r="L18" s="204">
        <v>90203141.040000007</v>
      </c>
      <c r="M18" s="206">
        <f>L18/H18*100</f>
        <v>7.0876173611717217</v>
      </c>
      <c r="N18" s="192"/>
      <c r="O18" s="192"/>
      <c r="P18" s="192"/>
      <c r="Q18" s="207"/>
      <c r="R18" s="237"/>
      <c r="S18" s="222"/>
      <c r="T18" s="222"/>
      <c r="U18" s="222"/>
      <c r="V18" s="192"/>
      <c r="W18" s="192"/>
      <c r="X18" s="192"/>
      <c r="Y18" s="192"/>
      <c r="Z18" s="192"/>
      <c r="AA18" s="192"/>
      <c r="AB18" s="209"/>
      <c r="AC18" s="209"/>
      <c r="AD18" s="192"/>
      <c r="AE18" s="192"/>
      <c r="AF18" s="192"/>
      <c r="AG18" s="209"/>
      <c r="AH18" s="192"/>
      <c r="AI18" s="192"/>
      <c r="AJ18" s="192"/>
      <c r="AK18" s="209"/>
      <c r="AL18" s="223"/>
      <c r="AM18" s="223"/>
      <c r="AN18" s="192"/>
      <c r="AO18" s="192"/>
      <c r="AP18" s="192"/>
      <c r="AQ18" s="192"/>
      <c r="AR18" s="192"/>
      <c r="AS18" s="192"/>
      <c r="AT18" s="209"/>
      <c r="AU18" s="192"/>
      <c r="AV18" s="192"/>
      <c r="AW18" s="192"/>
      <c r="AX18" s="210"/>
    </row>
    <row r="19" spans="1:50" ht="15" customHeight="1">
      <c r="A19" s="516" t="s">
        <v>45</v>
      </c>
      <c r="B19" s="202" t="s">
        <v>282</v>
      </c>
      <c r="C19" s="238"/>
      <c r="D19" s="517" t="s">
        <v>277</v>
      </c>
      <c r="E19" s="204"/>
      <c r="F19" s="204"/>
      <c r="G19" s="204"/>
      <c r="H19" s="204"/>
      <c r="I19" s="204"/>
      <c r="J19" s="204"/>
      <c r="K19" s="206"/>
      <c r="L19" s="206"/>
      <c r="M19" s="206"/>
      <c r="N19" s="192"/>
      <c r="O19" s="192"/>
      <c r="P19" s="192"/>
      <c r="Q19" s="207"/>
      <c r="R19" s="204"/>
      <c r="S19" s="222"/>
      <c r="T19" s="222"/>
      <c r="U19" s="222"/>
      <c r="V19" s="192"/>
      <c r="W19" s="192"/>
      <c r="X19" s="192"/>
      <c r="Y19" s="192"/>
      <c r="Z19" s="192"/>
      <c r="AA19" s="192"/>
      <c r="AB19" s="209"/>
      <c r="AC19" s="209"/>
      <c r="AD19" s="192"/>
      <c r="AE19" s="192"/>
      <c r="AF19" s="192"/>
      <c r="AG19" s="209"/>
      <c r="AH19" s="192"/>
      <c r="AI19" s="192"/>
      <c r="AJ19" s="192"/>
      <c r="AK19" s="209"/>
      <c r="AL19" s="223"/>
      <c r="AM19" s="223"/>
      <c r="AN19" s="192"/>
      <c r="AO19" s="192"/>
      <c r="AP19" s="192"/>
      <c r="AQ19" s="192"/>
      <c r="AR19" s="192"/>
      <c r="AS19" s="192"/>
      <c r="AT19" s="209"/>
      <c r="AU19" s="192"/>
      <c r="AV19" s="192"/>
      <c r="AW19" s="192"/>
      <c r="AX19" s="210"/>
    </row>
    <row r="20" spans="1:50" ht="51.75">
      <c r="A20" s="501"/>
      <c r="B20" s="239" t="s">
        <v>283</v>
      </c>
      <c r="C20" s="221" t="s">
        <v>284</v>
      </c>
      <c r="D20" s="504"/>
      <c r="E20" s="204">
        <v>135168961</v>
      </c>
      <c r="F20" s="204">
        <f>E20*4.4639</f>
        <v>603380725.0079</v>
      </c>
      <c r="G20" s="204">
        <v>114893617</v>
      </c>
      <c r="H20" s="216">
        <v>512873616.92000002</v>
      </c>
      <c r="I20" s="216">
        <v>85</v>
      </c>
      <c r="J20" s="216">
        <v>1</v>
      </c>
      <c r="K20" s="217">
        <v>110365920.90000001</v>
      </c>
      <c r="L20" s="217">
        <v>93811033</v>
      </c>
      <c r="M20" s="240">
        <f>L20/H20*100</f>
        <v>18.291257320540431</v>
      </c>
      <c r="N20" s="214"/>
      <c r="O20" s="214"/>
      <c r="P20" s="214"/>
      <c r="Q20" s="215"/>
      <c r="R20" s="216">
        <v>1</v>
      </c>
      <c r="S20" s="217">
        <v>110365920.90000001</v>
      </c>
      <c r="T20" s="217">
        <v>93811033</v>
      </c>
      <c r="U20" s="217">
        <f>T20/H20*100</f>
        <v>18.291257320540431</v>
      </c>
      <c r="V20" s="216">
        <v>1</v>
      </c>
      <c r="W20" s="217">
        <v>110365920.90000001</v>
      </c>
      <c r="X20" s="217">
        <f>W20</f>
        <v>110365920.90000001</v>
      </c>
      <c r="Y20" s="217">
        <v>93811033</v>
      </c>
      <c r="Z20" s="217">
        <v>0</v>
      </c>
      <c r="AA20" s="217">
        <v>16554888.130000001</v>
      </c>
      <c r="AB20" s="217">
        <f>Y20/H20*100</f>
        <v>18.291257320540431</v>
      </c>
      <c r="AC20" s="217">
        <f>X20/F20*100</f>
        <v>18.291257298375747</v>
      </c>
      <c r="AD20" s="214"/>
      <c r="AE20" s="214"/>
      <c r="AF20" s="214"/>
      <c r="AG20" s="241"/>
      <c r="AH20" s="214"/>
      <c r="AI20" s="214"/>
      <c r="AJ20" s="214"/>
      <c r="AK20" s="241"/>
      <c r="AL20" s="217">
        <v>1</v>
      </c>
      <c r="AM20" s="217">
        <v>110365920.90000001</v>
      </c>
      <c r="AN20" s="214"/>
      <c r="AO20" s="214"/>
      <c r="AP20" s="214"/>
      <c r="AQ20" s="214"/>
      <c r="AR20" s="214"/>
      <c r="AS20" s="214"/>
      <c r="AT20" s="241"/>
      <c r="AU20" s="214"/>
      <c r="AV20" s="214"/>
      <c r="AW20" s="214"/>
      <c r="AX20" s="242"/>
    </row>
    <row r="21" spans="1:50" ht="15.75" thickBot="1">
      <c r="A21" s="518" t="s">
        <v>285</v>
      </c>
      <c r="B21" s="519"/>
      <c r="C21" s="519"/>
      <c r="D21" s="519"/>
      <c r="E21" s="243">
        <f>E18</f>
        <v>335419274</v>
      </c>
      <c r="F21" s="243">
        <f t="shared" ref="F21:AX21" si="0">F18</f>
        <v>1497278097.2085998</v>
      </c>
      <c r="G21" s="243">
        <f t="shared" si="0"/>
        <v>285106383</v>
      </c>
      <c r="H21" s="243">
        <f t="shared" si="0"/>
        <v>1272686383.0737</v>
      </c>
      <c r="I21" s="243">
        <f t="shared" si="0"/>
        <v>85</v>
      </c>
      <c r="J21" s="243">
        <f t="shared" si="0"/>
        <v>23</v>
      </c>
      <c r="K21" s="243">
        <f t="shared" si="0"/>
        <v>106121342.40000001</v>
      </c>
      <c r="L21" s="243">
        <f t="shared" si="0"/>
        <v>90203141.040000007</v>
      </c>
      <c r="M21" s="243">
        <f t="shared" si="0"/>
        <v>7.0876173611717217</v>
      </c>
      <c r="N21" s="243">
        <f t="shared" si="0"/>
        <v>0</v>
      </c>
      <c r="O21" s="243">
        <f t="shared" si="0"/>
        <v>0</v>
      </c>
      <c r="P21" s="243">
        <f t="shared" si="0"/>
        <v>0</v>
      </c>
      <c r="Q21" s="243">
        <f t="shared" si="0"/>
        <v>0</v>
      </c>
      <c r="R21" s="243">
        <f t="shared" si="0"/>
        <v>0</v>
      </c>
      <c r="S21" s="243">
        <f t="shared" si="0"/>
        <v>0</v>
      </c>
      <c r="T21" s="243">
        <f t="shared" si="0"/>
        <v>0</v>
      </c>
      <c r="U21" s="243">
        <f t="shared" si="0"/>
        <v>0</v>
      </c>
      <c r="V21" s="243">
        <f t="shared" si="0"/>
        <v>0</v>
      </c>
      <c r="W21" s="243">
        <f t="shared" si="0"/>
        <v>0</v>
      </c>
      <c r="X21" s="243">
        <f t="shared" si="0"/>
        <v>0</v>
      </c>
      <c r="Y21" s="243">
        <f t="shared" si="0"/>
        <v>0</v>
      </c>
      <c r="Z21" s="243">
        <f t="shared" si="0"/>
        <v>0</v>
      </c>
      <c r="AA21" s="243">
        <f t="shared" si="0"/>
        <v>0</v>
      </c>
      <c r="AB21" s="243">
        <f t="shared" si="0"/>
        <v>0</v>
      </c>
      <c r="AC21" s="243">
        <f t="shared" si="0"/>
        <v>0</v>
      </c>
      <c r="AD21" s="243">
        <f t="shared" si="0"/>
        <v>0</v>
      </c>
      <c r="AE21" s="243">
        <f t="shared" si="0"/>
        <v>0</v>
      </c>
      <c r="AF21" s="243">
        <f t="shared" si="0"/>
        <v>0</v>
      </c>
      <c r="AG21" s="243">
        <f t="shared" si="0"/>
        <v>0</v>
      </c>
      <c r="AH21" s="243">
        <f t="shared" si="0"/>
        <v>0</v>
      </c>
      <c r="AI21" s="243">
        <f t="shared" si="0"/>
        <v>0</v>
      </c>
      <c r="AJ21" s="243">
        <f t="shared" si="0"/>
        <v>0</v>
      </c>
      <c r="AK21" s="243">
        <f t="shared" si="0"/>
        <v>0</v>
      </c>
      <c r="AL21" s="243">
        <f t="shared" si="0"/>
        <v>0</v>
      </c>
      <c r="AM21" s="243">
        <f t="shared" si="0"/>
        <v>0</v>
      </c>
      <c r="AN21" s="243">
        <f t="shared" si="0"/>
        <v>0</v>
      </c>
      <c r="AO21" s="243">
        <f t="shared" si="0"/>
        <v>0</v>
      </c>
      <c r="AP21" s="243">
        <f t="shared" si="0"/>
        <v>0</v>
      </c>
      <c r="AQ21" s="243">
        <f t="shared" si="0"/>
        <v>0</v>
      </c>
      <c r="AR21" s="243">
        <f t="shared" si="0"/>
        <v>0</v>
      </c>
      <c r="AS21" s="243">
        <f t="shared" si="0"/>
        <v>0</v>
      </c>
      <c r="AT21" s="243">
        <f t="shared" si="0"/>
        <v>0</v>
      </c>
      <c r="AU21" s="243">
        <f t="shared" si="0"/>
        <v>0</v>
      </c>
      <c r="AV21" s="243">
        <f t="shared" si="0"/>
        <v>0</v>
      </c>
      <c r="AW21" s="243">
        <f t="shared" si="0"/>
        <v>0</v>
      </c>
      <c r="AX21" s="243">
        <f t="shared" si="0"/>
        <v>0</v>
      </c>
    </row>
    <row r="22" spans="1:50" ht="15.75" thickBot="1">
      <c r="A22" s="512" t="s">
        <v>286</v>
      </c>
      <c r="B22" s="513"/>
      <c r="C22" s="513"/>
      <c r="D22" s="513"/>
      <c r="E22" s="244"/>
      <c r="F22" s="244"/>
      <c r="G22" s="244"/>
      <c r="H22" s="244"/>
      <c r="I22" s="244"/>
      <c r="J22" s="244"/>
      <c r="K22" s="244"/>
      <c r="L22" s="244"/>
      <c r="M22" s="245"/>
      <c r="N22" s="244"/>
      <c r="O22" s="244"/>
      <c r="P22" s="244"/>
      <c r="Q22" s="245"/>
      <c r="R22" s="244"/>
      <c r="S22" s="245"/>
      <c r="T22" s="245"/>
      <c r="U22" s="245"/>
      <c r="V22" s="244"/>
      <c r="W22" s="244"/>
      <c r="X22" s="244"/>
      <c r="Y22" s="244"/>
      <c r="Z22" s="244"/>
      <c r="AA22" s="244"/>
      <c r="AB22" s="246"/>
      <c r="AC22" s="247"/>
      <c r="AD22" s="244"/>
      <c r="AE22" s="244"/>
      <c r="AF22" s="244"/>
      <c r="AG22" s="247"/>
      <c r="AH22" s="244"/>
      <c r="AI22" s="244"/>
      <c r="AJ22" s="244"/>
      <c r="AK22" s="247"/>
      <c r="AL22" s="248"/>
      <c r="AM22" s="248"/>
      <c r="AN22" s="244"/>
      <c r="AO22" s="244"/>
      <c r="AP22" s="244"/>
      <c r="AQ22" s="244"/>
      <c r="AR22" s="244"/>
      <c r="AS22" s="244"/>
      <c r="AT22" s="247"/>
      <c r="AU22" s="244"/>
      <c r="AV22" s="244"/>
      <c r="AW22" s="244"/>
      <c r="AX22" s="249"/>
    </row>
    <row r="23" spans="1:50" ht="15.75" thickBot="1">
      <c r="A23" s="512" t="s">
        <v>287</v>
      </c>
      <c r="B23" s="513"/>
      <c r="C23" s="513"/>
      <c r="D23" s="513"/>
      <c r="E23" s="250">
        <f>E15+E16+E20</f>
        <v>3538044003</v>
      </c>
      <c r="F23" s="250">
        <f t="shared" ref="F23:AX23" si="1">F15+F16+F20</f>
        <v>15793474624.897902</v>
      </c>
      <c r="G23" s="250">
        <f t="shared" si="1"/>
        <v>3007337402</v>
      </c>
      <c r="H23" s="250">
        <f t="shared" si="1"/>
        <v>13424453428.720001</v>
      </c>
      <c r="I23" s="250">
        <f t="shared" si="1"/>
        <v>255</v>
      </c>
      <c r="J23" s="250">
        <f t="shared" si="1"/>
        <v>3</v>
      </c>
      <c r="K23" s="250">
        <f t="shared" si="1"/>
        <v>148336715.90000001</v>
      </c>
      <c r="L23" s="250">
        <f t="shared" si="1"/>
        <v>130446316.67</v>
      </c>
      <c r="M23" s="250">
        <f t="shared" si="1"/>
        <v>20.638273632876107</v>
      </c>
      <c r="N23" s="250">
        <f t="shared" si="1"/>
        <v>0</v>
      </c>
      <c r="O23" s="250">
        <f t="shared" si="1"/>
        <v>0</v>
      </c>
      <c r="P23" s="250">
        <f t="shared" si="1"/>
        <v>0</v>
      </c>
      <c r="Q23" s="250">
        <f t="shared" si="1"/>
        <v>0</v>
      </c>
      <c r="R23" s="250">
        <f t="shared" si="1"/>
        <v>3</v>
      </c>
      <c r="S23" s="250">
        <f t="shared" si="1"/>
        <v>148336715.90000001</v>
      </c>
      <c r="T23" s="250">
        <f t="shared" si="1"/>
        <v>130446316.67</v>
      </c>
      <c r="U23" s="250">
        <f t="shared" si="1"/>
        <v>20.638273632876107</v>
      </c>
      <c r="V23" s="250">
        <f t="shared" si="1"/>
        <v>1</v>
      </c>
      <c r="W23" s="250">
        <f t="shared" si="1"/>
        <v>110365920.90000001</v>
      </c>
      <c r="X23" s="250">
        <f t="shared" si="1"/>
        <v>110365920.90000001</v>
      </c>
      <c r="Y23" s="250">
        <f t="shared" si="1"/>
        <v>93811033</v>
      </c>
      <c r="Z23" s="250">
        <f t="shared" si="1"/>
        <v>0</v>
      </c>
      <c r="AA23" s="250">
        <f t="shared" si="1"/>
        <v>16554888.130000001</v>
      </c>
      <c r="AB23" s="250">
        <f t="shared" si="1"/>
        <v>18.291257320540431</v>
      </c>
      <c r="AC23" s="250">
        <f t="shared" si="1"/>
        <v>18.291257298375747</v>
      </c>
      <c r="AD23" s="250">
        <f t="shared" si="1"/>
        <v>0</v>
      </c>
      <c r="AE23" s="250">
        <f t="shared" si="1"/>
        <v>0</v>
      </c>
      <c r="AF23" s="250">
        <f t="shared" si="1"/>
        <v>0</v>
      </c>
      <c r="AG23" s="250">
        <f t="shared" si="1"/>
        <v>0</v>
      </c>
      <c r="AH23" s="250">
        <f t="shared" si="1"/>
        <v>0</v>
      </c>
      <c r="AI23" s="250">
        <f t="shared" si="1"/>
        <v>0</v>
      </c>
      <c r="AJ23" s="250">
        <f t="shared" si="1"/>
        <v>0</v>
      </c>
      <c r="AK23" s="250">
        <f t="shared" si="1"/>
        <v>0</v>
      </c>
      <c r="AL23" s="250">
        <f t="shared" si="1"/>
        <v>1</v>
      </c>
      <c r="AM23" s="250">
        <f t="shared" si="1"/>
        <v>110365920.90000001</v>
      </c>
      <c r="AN23" s="250">
        <f t="shared" si="1"/>
        <v>0</v>
      </c>
      <c r="AO23" s="250">
        <f t="shared" si="1"/>
        <v>0</v>
      </c>
      <c r="AP23" s="250">
        <f t="shared" si="1"/>
        <v>0</v>
      </c>
      <c r="AQ23" s="250">
        <f t="shared" si="1"/>
        <v>0</v>
      </c>
      <c r="AR23" s="250">
        <f t="shared" si="1"/>
        <v>0</v>
      </c>
      <c r="AS23" s="250">
        <f t="shared" si="1"/>
        <v>0</v>
      </c>
      <c r="AT23" s="250">
        <f t="shared" si="1"/>
        <v>0</v>
      </c>
      <c r="AU23" s="250">
        <f t="shared" si="1"/>
        <v>0</v>
      </c>
      <c r="AV23" s="250">
        <f t="shared" si="1"/>
        <v>0</v>
      </c>
      <c r="AW23" s="250">
        <f t="shared" si="1"/>
        <v>0</v>
      </c>
      <c r="AX23" s="250">
        <f t="shared" si="1"/>
        <v>0</v>
      </c>
    </row>
    <row r="24" spans="1:50" ht="15.75" thickBot="1">
      <c r="A24" s="514" t="s">
        <v>288</v>
      </c>
      <c r="B24" s="515"/>
      <c r="C24" s="515"/>
      <c r="D24" s="515"/>
      <c r="E24" s="251"/>
      <c r="F24" s="251"/>
      <c r="G24" s="251"/>
      <c r="H24" s="251"/>
      <c r="I24" s="251"/>
      <c r="J24" s="251"/>
      <c r="K24" s="251"/>
      <c r="L24" s="251"/>
      <c r="M24" s="252"/>
      <c r="N24" s="251"/>
      <c r="O24" s="251"/>
      <c r="P24" s="251"/>
      <c r="Q24" s="252"/>
      <c r="R24" s="251"/>
      <c r="S24" s="252"/>
      <c r="T24" s="252"/>
      <c r="U24" s="252"/>
      <c r="V24" s="251"/>
      <c r="W24" s="251"/>
      <c r="X24" s="251"/>
      <c r="Y24" s="251"/>
      <c r="Z24" s="251"/>
      <c r="AA24" s="251"/>
      <c r="AB24" s="253"/>
      <c r="AC24" s="254"/>
      <c r="AD24" s="244"/>
      <c r="AE24" s="244"/>
      <c r="AF24" s="244"/>
      <c r="AG24" s="254"/>
      <c r="AH24" s="244"/>
      <c r="AI24" s="244"/>
      <c r="AJ24" s="244"/>
      <c r="AK24" s="254"/>
      <c r="AL24" s="255"/>
      <c r="AM24" s="255"/>
      <c r="AN24" s="244"/>
      <c r="AO24" s="244"/>
      <c r="AP24" s="244"/>
      <c r="AQ24" s="244"/>
      <c r="AR24" s="244"/>
      <c r="AS24" s="244"/>
      <c r="AT24" s="254"/>
      <c r="AU24" s="244"/>
      <c r="AV24" s="244"/>
      <c r="AW24" s="244"/>
      <c r="AX24" s="256"/>
    </row>
    <row r="25" spans="1:50">
      <c r="M25"/>
      <c r="Q25"/>
      <c r="S25"/>
      <c r="T25"/>
      <c r="U25"/>
    </row>
    <row r="26" spans="1:50">
      <c r="A26" t="s">
        <v>289</v>
      </c>
      <c r="F26" s="257" t="s">
        <v>290</v>
      </c>
      <c r="G26" s="2"/>
      <c r="M26"/>
      <c r="Q26"/>
      <c r="S26"/>
      <c r="T26"/>
      <c r="U26"/>
    </row>
    <row r="27" spans="1:50">
      <c r="A27" t="s">
        <v>291</v>
      </c>
      <c r="M27"/>
      <c r="Q27"/>
      <c r="S27"/>
      <c r="T27"/>
      <c r="U27"/>
    </row>
    <row r="28" spans="1:50">
      <c r="M28"/>
      <c r="Q28"/>
      <c r="S28"/>
      <c r="T28"/>
      <c r="U28"/>
    </row>
    <row r="29" spans="1:50">
      <c r="M29"/>
      <c r="Q29"/>
      <c r="S29"/>
      <c r="T29"/>
      <c r="U29"/>
    </row>
    <row r="30" spans="1:50">
      <c r="M30"/>
      <c r="Q30"/>
      <c r="S30"/>
      <c r="T30"/>
      <c r="U30"/>
    </row>
    <row r="31" spans="1:50">
      <c r="M31"/>
      <c r="Q31"/>
      <c r="S31"/>
      <c r="T31"/>
      <c r="U31"/>
    </row>
    <row r="32" spans="1:50">
      <c r="M32"/>
      <c r="Q32"/>
      <c r="S32"/>
      <c r="T32"/>
      <c r="U32"/>
    </row>
    <row r="33" customFormat="1"/>
    <row r="34" customFormat="1"/>
    <row r="35" customFormat="1"/>
    <row r="36" customFormat="1"/>
    <row r="37" customFormat="1"/>
    <row r="38" customFormat="1"/>
    <row r="39" customFormat="1"/>
    <row r="40" customFormat="1"/>
    <row r="41" customFormat="1"/>
    <row r="42" customFormat="1"/>
    <row r="43" customFormat="1"/>
    <row r="44" customFormat="1"/>
    <row r="45" customFormat="1"/>
    <row r="46" customFormat="1"/>
    <row r="47" customFormat="1"/>
    <row r="48"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spans="13:21">
      <c r="M81"/>
      <c r="Q81"/>
      <c r="S81"/>
      <c r="T81"/>
      <c r="U81"/>
    </row>
    <row r="82" spans="13:21">
      <c r="M82"/>
      <c r="Q82"/>
      <c r="S82"/>
      <c r="T82"/>
      <c r="U82"/>
    </row>
    <row r="83" spans="13:21">
      <c r="S83" s="2"/>
      <c r="T83" s="2"/>
      <c r="U83" s="2"/>
    </row>
    <row r="84" spans="13:21">
      <c r="S84" s="2"/>
      <c r="T84" s="2"/>
      <c r="U84" s="2"/>
    </row>
    <row r="85" spans="13:21">
      <c r="S85" s="2"/>
      <c r="T85" s="2"/>
      <c r="U85" s="2"/>
    </row>
    <row r="86" spans="13:21">
      <c r="S86" s="2"/>
      <c r="T86" s="2"/>
      <c r="U86" s="2"/>
    </row>
    <row r="87" spans="13:21">
      <c r="S87" s="2"/>
      <c r="T87" s="2"/>
      <c r="U87" s="2"/>
    </row>
    <row r="88" spans="13:21">
      <c r="S88" s="2"/>
      <c r="T88" s="2"/>
      <c r="U88" s="2"/>
    </row>
  </sheetData>
  <mergeCells count="71">
    <mergeCell ref="A23:D23"/>
    <mergeCell ref="A24:D24"/>
    <mergeCell ref="A17:A18"/>
    <mergeCell ref="D17:D18"/>
    <mergeCell ref="A19:A20"/>
    <mergeCell ref="D19:D20"/>
    <mergeCell ref="A21:D21"/>
    <mergeCell ref="A22:D22"/>
    <mergeCell ref="AT11:AT12"/>
    <mergeCell ref="AU11:AU12"/>
    <mergeCell ref="AV11:AV12"/>
    <mergeCell ref="AW11:AW12"/>
    <mergeCell ref="AX11:AX12"/>
    <mergeCell ref="A14:A16"/>
    <mergeCell ref="D14:D16"/>
    <mergeCell ref="AQ10:AT10"/>
    <mergeCell ref="AU10:AX10"/>
    <mergeCell ref="Y11:Y12"/>
    <mergeCell ref="Z11:Z12"/>
    <mergeCell ref="AN11:AN12"/>
    <mergeCell ref="AO11:AO12"/>
    <mergeCell ref="AP11:AP12"/>
    <mergeCell ref="AQ11:AQ12"/>
    <mergeCell ref="AR11:AR12"/>
    <mergeCell ref="AS11:AS12"/>
    <mergeCell ref="AI10:AI12"/>
    <mergeCell ref="AJ10:AJ12"/>
    <mergeCell ref="AK10:AK12"/>
    <mergeCell ref="AL10:AL12"/>
    <mergeCell ref="AM10:AM12"/>
    <mergeCell ref="AN10:AP10"/>
    <mergeCell ref="AC10:AC12"/>
    <mergeCell ref="AD10:AD12"/>
    <mergeCell ref="AE10:AE12"/>
    <mergeCell ref="AF10:AF12"/>
    <mergeCell ref="AG10:AG12"/>
    <mergeCell ref="AH10:AH12"/>
    <mergeCell ref="AB10:AB12"/>
    <mergeCell ref="P10:P12"/>
    <mergeCell ref="Q10:Q12"/>
    <mergeCell ref="R10:R12"/>
    <mergeCell ref="S10:S12"/>
    <mergeCell ref="T10:T12"/>
    <mergeCell ref="U10:U12"/>
    <mergeCell ref="V10:V12"/>
    <mergeCell ref="W10:W12"/>
    <mergeCell ref="X10:X12"/>
    <mergeCell ref="Y10:Z10"/>
    <mergeCell ref="AA10:AA12"/>
    <mergeCell ref="AL9:AM9"/>
    <mergeCell ref="AN9:AX9"/>
    <mergeCell ref="E10:F11"/>
    <mergeCell ref="G10:H11"/>
    <mergeCell ref="J10:J12"/>
    <mergeCell ref="K10:K12"/>
    <mergeCell ref="L10:L12"/>
    <mergeCell ref="M10:M12"/>
    <mergeCell ref="N10:N12"/>
    <mergeCell ref="O10:O12"/>
    <mergeCell ref="J9:M9"/>
    <mergeCell ref="N9:Q9"/>
    <mergeCell ref="R9:U9"/>
    <mergeCell ref="V9:AC9"/>
    <mergeCell ref="AD9:AG9"/>
    <mergeCell ref="AH9:AK9"/>
    <mergeCell ref="I9:I12"/>
    <mergeCell ref="A9:A12"/>
    <mergeCell ref="B9:B12"/>
    <mergeCell ref="C9:C12"/>
    <mergeCell ref="D9:D12"/>
    <mergeCell ref="E9:H9"/>
  </mergeCells>
  <pageMargins left="0.11811023622047245" right="0.11811023622047245" top="0.55118110236220474" bottom="0.55118110236220474" header="0.31496062992125984" footer="0.31496062992125984"/>
  <pageSetup paperSize="8" scale="37" fitToHeight="0" orientation="landscape" verticalDpi="59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B75"/>
  <sheetViews>
    <sheetView tabSelected="1" view="pageBreakPreview" zoomScale="40" zoomScaleNormal="63" zoomScaleSheetLayoutView="40" zoomScalePageLayoutView="63" workbookViewId="0">
      <pane xSplit="2" ySplit="10" topLeftCell="Q11" activePane="bottomRight" state="frozen"/>
      <selection pane="topRight" activeCell="C1" sqref="C1"/>
      <selection pane="bottomLeft" activeCell="A11" sqref="A11"/>
      <selection pane="bottomRight" activeCell="Y60" sqref="Y60:Y63"/>
    </sheetView>
  </sheetViews>
  <sheetFormatPr defaultColWidth="8.85546875" defaultRowHeight="15.75"/>
  <cols>
    <col min="1" max="1" width="6.140625" style="258" customWidth="1"/>
    <col min="2" max="2" width="53.85546875" style="258" customWidth="1"/>
    <col min="3" max="3" width="23.28515625" style="259" customWidth="1"/>
    <col min="4" max="4" width="26.28515625" style="259" customWidth="1"/>
    <col min="5" max="5" width="19.85546875" style="258" customWidth="1"/>
    <col min="6" max="6" width="24" style="258" customWidth="1"/>
    <col min="7" max="7" width="52" style="258" customWidth="1"/>
    <col min="8" max="15" width="30.85546875" style="258" hidden="1" customWidth="1"/>
    <col min="16" max="16" width="44.7109375" style="288" customWidth="1"/>
    <col min="17" max="17" width="37.7109375" style="288" customWidth="1"/>
    <col min="18" max="18" width="34.42578125" style="289" customWidth="1"/>
    <col min="19" max="19" width="15.42578125" style="289" customWidth="1"/>
    <col min="20" max="20" width="56.42578125" style="289" customWidth="1"/>
    <col min="21" max="21" width="24.7109375" style="289" customWidth="1"/>
    <col min="22" max="22" width="35.85546875" style="289" customWidth="1"/>
    <col min="23" max="23" width="25.42578125" style="301" customWidth="1"/>
    <col min="24" max="24" width="24.85546875" style="301" customWidth="1"/>
    <col min="25" max="25" width="22.7109375" style="258" customWidth="1"/>
    <col min="26" max="26" width="32" style="258" customWidth="1"/>
    <col min="27" max="27" width="35.85546875" style="258" customWidth="1"/>
    <col min="28" max="28" width="32.85546875" style="258" customWidth="1"/>
    <col min="29" max="29" width="34.7109375" style="258" customWidth="1"/>
    <col min="30" max="30" width="22.5703125" style="258" bestFit="1" customWidth="1"/>
    <col min="31" max="31" width="25" style="258" customWidth="1"/>
    <col min="32" max="32" width="21.42578125" style="258" bestFit="1" customWidth="1"/>
    <col min="33" max="33" width="23.5703125" style="258" customWidth="1"/>
    <col min="34" max="16384" width="8.85546875" style="258"/>
  </cols>
  <sheetData>
    <row r="1" spans="1:132" ht="12.75" customHeight="1"/>
    <row r="2" spans="1:132" ht="15.75" customHeight="1"/>
    <row r="3" spans="1:132" ht="15.75" customHeight="1">
      <c r="D3" s="276"/>
    </row>
    <row r="4" spans="1:132" ht="31.7" customHeight="1">
      <c r="B4" s="573"/>
      <c r="C4" s="573"/>
      <c r="D4" s="573"/>
      <c r="E4" s="573"/>
      <c r="F4" s="573"/>
      <c r="G4" s="573"/>
      <c r="H4" s="573"/>
      <c r="I4" s="573"/>
      <c r="J4" s="573"/>
      <c r="K4" s="573"/>
      <c r="L4" s="573"/>
      <c r="M4" s="573"/>
      <c r="N4" s="573"/>
      <c r="O4" s="573"/>
      <c r="P4" s="573"/>
      <c r="Q4" s="573"/>
      <c r="R4" s="573"/>
      <c r="S4" s="290"/>
      <c r="T4" s="290"/>
      <c r="U4" s="290"/>
      <c r="V4" s="290"/>
      <c r="W4" s="299"/>
      <c r="X4" s="299"/>
      <c r="Y4" s="310"/>
      <c r="Z4" s="311"/>
      <c r="AA4" s="310"/>
    </row>
    <row r="5" spans="1:132" ht="21">
      <c r="B5" s="270"/>
      <c r="C5" s="295"/>
      <c r="D5" s="295"/>
      <c r="E5" s="270"/>
      <c r="F5" s="270"/>
      <c r="G5" s="270"/>
      <c r="H5" s="270"/>
      <c r="I5" s="270"/>
      <c r="J5" s="270"/>
      <c r="K5" s="270"/>
      <c r="L5" s="270"/>
      <c r="M5" s="270"/>
      <c r="N5" s="270"/>
      <c r="O5" s="270"/>
      <c r="P5" s="291"/>
      <c r="Q5" s="291"/>
      <c r="R5" s="291"/>
      <c r="S5" s="291"/>
      <c r="T5" s="291"/>
      <c r="U5" s="291"/>
      <c r="V5" s="291"/>
      <c r="W5" s="300"/>
      <c r="X5" s="300"/>
      <c r="Y5" s="297"/>
      <c r="Z5" s="312"/>
      <c r="AA5" s="297"/>
    </row>
    <row r="6" spans="1:132" ht="50.25" customHeight="1" thickBot="1">
      <c r="A6" s="574" t="s">
        <v>300</v>
      </c>
      <c r="B6" s="575"/>
      <c r="C6" s="575"/>
      <c r="D6" s="575"/>
      <c r="E6" s="575"/>
      <c r="F6" s="575"/>
      <c r="G6" s="575"/>
      <c r="H6" s="575"/>
      <c r="I6" s="575"/>
      <c r="J6" s="575"/>
      <c r="K6" s="575"/>
      <c r="L6" s="575"/>
      <c r="M6" s="575"/>
      <c r="N6" s="575"/>
      <c r="O6" s="575"/>
      <c r="P6" s="575"/>
      <c r="Q6" s="575"/>
      <c r="R6" s="575"/>
      <c r="S6" s="575"/>
      <c r="T6" s="575"/>
      <c r="U6" s="575"/>
      <c r="V6" s="575"/>
      <c r="W6" s="575"/>
      <c r="X6" s="576"/>
      <c r="Y6" s="433"/>
      <c r="Z6" s="434"/>
      <c r="AA6" s="330"/>
      <c r="AB6" s="329"/>
      <c r="AC6" s="298"/>
    </row>
    <row r="7" spans="1:132" ht="35.450000000000003" customHeight="1">
      <c r="A7" s="331"/>
      <c r="B7" s="425" t="s">
        <v>507</v>
      </c>
      <c r="C7" s="331"/>
      <c r="D7" s="331"/>
      <c r="E7" s="331"/>
      <c r="F7" s="331"/>
      <c r="G7" s="331"/>
      <c r="H7" s="331"/>
      <c r="I7" s="331"/>
      <c r="J7" s="331"/>
      <c r="K7" s="331"/>
      <c r="L7" s="331"/>
      <c r="M7" s="331"/>
      <c r="N7" s="331"/>
      <c r="O7" s="331"/>
      <c r="P7" s="331"/>
      <c r="Q7" s="331"/>
      <c r="R7" s="331"/>
      <c r="S7" s="331"/>
      <c r="T7" s="331"/>
      <c r="U7" s="331"/>
      <c r="V7" s="331"/>
      <c r="W7" s="332"/>
      <c r="X7" s="332"/>
      <c r="Y7" s="331"/>
      <c r="Z7" s="333"/>
      <c r="AA7" s="334"/>
      <c r="AB7" s="331"/>
      <c r="AC7" s="297"/>
    </row>
    <row r="8" spans="1:132" ht="27.75" customHeight="1" thickBot="1">
      <c r="A8" s="330"/>
      <c r="B8" s="335"/>
      <c r="C8" s="427">
        <v>4.9215</v>
      </c>
      <c r="D8" s="336"/>
      <c r="E8" s="337"/>
      <c r="F8" s="337"/>
      <c r="G8" s="337"/>
      <c r="H8" s="337"/>
      <c r="I8" s="337"/>
      <c r="J8" s="337"/>
      <c r="K8" s="337"/>
      <c r="L8" s="337"/>
      <c r="M8" s="337"/>
      <c r="N8" s="337"/>
      <c r="O8" s="337"/>
      <c r="P8" s="338"/>
      <c r="Q8" s="338"/>
      <c r="R8" s="338"/>
      <c r="S8" s="338"/>
      <c r="T8" s="338"/>
      <c r="U8" s="338"/>
      <c r="V8" s="338"/>
      <c r="W8" s="339"/>
      <c r="X8" s="339"/>
      <c r="Y8" s="337"/>
      <c r="Z8" s="431" t="s">
        <v>506</v>
      </c>
      <c r="AA8" s="427">
        <v>4.9215</v>
      </c>
      <c r="AB8" s="330"/>
    </row>
    <row r="9" spans="1:132" ht="96.75" customHeight="1">
      <c r="A9" s="596"/>
      <c r="B9" s="586"/>
      <c r="C9" s="585" t="s">
        <v>301</v>
      </c>
      <c r="D9" s="586"/>
      <c r="E9" s="577" t="s">
        <v>36</v>
      </c>
      <c r="F9" s="577" t="s">
        <v>0</v>
      </c>
      <c r="G9" s="577" t="s">
        <v>4</v>
      </c>
      <c r="H9" s="579">
        <v>2015</v>
      </c>
      <c r="I9" s="580"/>
      <c r="J9" s="580"/>
      <c r="K9" s="580"/>
      <c r="L9" s="580"/>
      <c r="M9" s="580"/>
      <c r="N9" s="580"/>
      <c r="O9" s="581"/>
      <c r="P9" s="587" t="s">
        <v>343</v>
      </c>
      <c r="Q9" s="587" t="s">
        <v>477</v>
      </c>
      <c r="R9" s="582" t="s">
        <v>5</v>
      </c>
      <c r="S9" s="582" t="s">
        <v>324</v>
      </c>
      <c r="T9" s="582" t="s">
        <v>359</v>
      </c>
      <c r="U9" s="340" t="s">
        <v>419</v>
      </c>
      <c r="V9" s="340" t="s">
        <v>420</v>
      </c>
      <c r="W9" s="612" t="s">
        <v>464</v>
      </c>
      <c r="X9" s="613"/>
      <c r="Y9" s="605" t="s">
        <v>438</v>
      </c>
      <c r="Z9" s="606"/>
      <c r="AA9" s="607"/>
      <c r="AB9" s="333"/>
      <c r="AC9" s="280"/>
    </row>
    <row r="10" spans="1:132" ht="78" customHeight="1">
      <c r="A10" s="597"/>
      <c r="B10" s="598"/>
      <c r="C10" s="341" t="s">
        <v>1</v>
      </c>
      <c r="D10" s="341" t="s">
        <v>3</v>
      </c>
      <c r="E10" s="578"/>
      <c r="F10" s="578"/>
      <c r="G10" s="578"/>
      <c r="H10" s="342"/>
      <c r="I10" s="342"/>
      <c r="J10" s="341" t="s">
        <v>1</v>
      </c>
      <c r="K10" s="341" t="s">
        <v>3</v>
      </c>
      <c r="L10" s="342"/>
      <c r="M10" s="341" t="s">
        <v>1</v>
      </c>
      <c r="N10" s="341" t="s">
        <v>3</v>
      </c>
      <c r="O10" s="342"/>
      <c r="P10" s="588"/>
      <c r="Q10" s="588"/>
      <c r="R10" s="583"/>
      <c r="S10" s="583"/>
      <c r="T10" s="583"/>
      <c r="U10" s="343"/>
      <c r="V10" s="343"/>
      <c r="W10" s="344" t="s">
        <v>1</v>
      </c>
      <c r="X10" s="344" t="s">
        <v>3</v>
      </c>
      <c r="Y10" s="345"/>
      <c r="Z10" s="346" t="s">
        <v>1</v>
      </c>
      <c r="AA10" s="346" t="s">
        <v>3</v>
      </c>
      <c r="AB10" s="333"/>
    </row>
    <row r="11" spans="1:132" s="260" customFormat="1" ht="39.75" customHeight="1">
      <c r="A11" s="599" t="s">
        <v>296</v>
      </c>
      <c r="B11" s="600"/>
      <c r="C11" s="347">
        <f>+C15+C18+C21+C22+C24+C26+C28</f>
        <v>5302341501</v>
      </c>
      <c r="D11" s="347">
        <f>+D15+D18+D21+D22+D24+D26+D28</f>
        <v>4506990275.8500004</v>
      </c>
      <c r="E11" s="348"/>
      <c r="F11" s="348"/>
      <c r="G11" s="348"/>
      <c r="H11" s="348"/>
      <c r="I11" s="348"/>
      <c r="J11" s="348"/>
      <c r="K11" s="348"/>
      <c r="L11" s="348"/>
      <c r="M11" s="348"/>
      <c r="N11" s="348"/>
      <c r="O11" s="348"/>
      <c r="P11" s="349"/>
      <c r="Q11" s="348"/>
      <c r="R11" s="348"/>
      <c r="S11" s="348"/>
      <c r="T11" s="348"/>
      <c r="U11" s="348"/>
      <c r="V11" s="348"/>
      <c r="W11" s="347">
        <f>+W15+W18+W21+W22+W24+W26+W28</f>
        <v>5302341501</v>
      </c>
      <c r="X11" s="347">
        <f>+X15+X18+X21+X22+X24+X26+X28</f>
        <v>4506990275.8500004</v>
      </c>
      <c r="Y11" s="346">
        <f>SUM(Y12:Y28)</f>
        <v>254</v>
      </c>
      <c r="Z11" s="350">
        <f>SUM(Z12:Z28)</f>
        <v>14743987289.511143</v>
      </c>
      <c r="AA11" s="350">
        <f>SUM(AA12:AA28)</f>
        <v>12532243273.44643</v>
      </c>
      <c r="AB11" s="333"/>
      <c r="AC11" s="269"/>
      <c r="AD11" s="258"/>
      <c r="AE11" s="258"/>
      <c r="AF11" s="258"/>
      <c r="AG11" s="258"/>
      <c r="AH11" s="258"/>
      <c r="AI11" s="258"/>
      <c r="AJ11" s="258"/>
      <c r="AK11" s="258"/>
      <c r="AL11" s="258"/>
      <c r="AM11" s="258"/>
      <c r="AN11" s="258"/>
      <c r="AO11" s="258"/>
      <c r="AP11" s="258"/>
      <c r="AQ11" s="258"/>
      <c r="AR11" s="258"/>
      <c r="AS11" s="258"/>
      <c r="AT11" s="258"/>
      <c r="AU11" s="258"/>
      <c r="AV11" s="258"/>
      <c r="AW11" s="258"/>
      <c r="AX11" s="258"/>
      <c r="AY11" s="258"/>
      <c r="AZ11" s="258"/>
      <c r="BA11" s="258"/>
      <c r="BB11" s="258"/>
      <c r="BC11" s="258"/>
      <c r="BD11" s="258"/>
      <c r="BE11" s="258"/>
      <c r="BF11" s="258"/>
      <c r="BG11" s="258"/>
      <c r="BH11" s="258"/>
      <c r="BI11" s="258"/>
      <c r="BJ11" s="258"/>
      <c r="BK11" s="258"/>
      <c r="BL11" s="258"/>
      <c r="BM11" s="258"/>
      <c r="BN11" s="258"/>
      <c r="BO11" s="258"/>
      <c r="BP11" s="258"/>
      <c r="BQ11" s="258"/>
      <c r="BR11" s="258"/>
      <c r="BS11" s="258"/>
      <c r="BT11" s="258"/>
      <c r="BU11" s="258"/>
      <c r="BV11" s="258"/>
      <c r="BW11" s="258"/>
      <c r="BX11" s="258"/>
      <c r="BY11" s="258"/>
      <c r="BZ11" s="258"/>
      <c r="CA11" s="258"/>
      <c r="CB11" s="258"/>
      <c r="CC11" s="258"/>
      <c r="CD11" s="258"/>
      <c r="CE11" s="258"/>
      <c r="CF11" s="258"/>
      <c r="CG11" s="258"/>
      <c r="CH11" s="258"/>
      <c r="CI11" s="258"/>
      <c r="CJ11" s="258"/>
      <c r="CK11" s="258"/>
      <c r="CL11" s="258"/>
      <c r="CM11" s="258"/>
      <c r="CN11" s="258"/>
      <c r="CO11" s="258"/>
      <c r="CP11" s="258"/>
      <c r="CQ11" s="258"/>
      <c r="CR11" s="258"/>
      <c r="CS11" s="258"/>
      <c r="CT11" s="258"/>
      <c r="CU11" s="258"/>
      <c r="CV11" s="258"/>
      <c r="CW11" s="258"/>
      <c r="CX11" s="258"/>
      <c r="CY11" s="258"/>
      <c r="CZ11" s="258"/>
      <c r="DA11" s="258"/>
      <c r="DB11" s="258"/>
      <c r="DC11" s="258"/>
      <c r="DD11" s="258"/>
      <c r="DE11" s="258"/>
      <c r="DF11" s="258"/>
      <c r="DG11" s="258"/>
      <c r="DH11" s="258"/>
      <c r="DI11" s="258"/>
      <c r="DJ11" s="258"/>
      <c r="DK11" s="258"/>
      <c r="DL11" s="258"/>
      <c r="DM11" s="258"/>
      <c r="DN11" s="258"/>
      <c r="DO11" s="258"/>
      <c r="DP11" s="258"/>
      <c r="DQ11" s="258"/>
      <c r="DR11" s="258"/>
      <c r="DS11" s="258"/>
      <c r="DT11" s="258"/>
      <c r="DU11" s="258"/>
      <c r="DV11" s="258"/>
      <c r="DW11" s="258"/>
      <c r="DX11" s="258"/>
      <c r="DY11" s="258"/>
      <c r="DZ11" s="258"/>
      <c r="EA11" s="258"/>
      <c r="EB11" s="258"/>
    </row>
    <row r="12" spans="1:132" s="261" customFormat="1" ht="15" customHeight="1">
      <c r="A12" s="601">
        <v>1</v>
      </c>
      <c r="B12" s="604" t="s">
        <v>489</v>
      </c>
      <c r="C12" s="351">
        <v>1802252817</v>
      </c>
      <c r="D12" s="351">
        <f>C12*0.85</f>
        <v>1531914894.45</v>
      </c>
      <c r="E12" s="570" t="s">
        <v>12</v>
      </c>
      <c r="F12" s="553" t="s">
        <v>213</v>
      </c>
      <c r="G12" s="570" t="s">
        <v>292</v>
      </c>
      <c r="H12" s="570" t="s">
        <v>12</v>
      </c>
      <c r="I12" s="570" t="s">
        <v>12</v>
      </c>
      <c r="J12" s="570" t="s">
        <v>12</v>
      </c>
      <c r="K12" s="570" t="s">
        <v>12</v>
      </c>
      <c r="L12" s="570" t="s">
        <v>12</v>
      </c>
      <c r="M12" s="570" t="s">
        <v>12</v>
      </c>
      <c r="N12" s="570" t="s">
        <v>12</v>
      </c>
      <c r="O12" s="570" t="s">
        <v>12</v>
      </c>
      <c r="P12" s="553" t="s">
        <v>344</v>
      </c>
      <c r="Q12" s="553" t="s">
        <v>341</v>
      </c>
      <c r="R12" s="618" t="s">
        <v>328</v>
      </c>
      <c r="S12" s="610" t="s">
        <v>326</v>
      </c>
      <c r="T12" s="542"/>
      <c r="U12" s="352"/>
      <c r="V12" s="352"/>
      <c r="W12" s="351">
        <v>1802252817</v>
      </c>
      <c r="X12" s="351">
        <f>W12*0.85</f>
        <v>1531914894.45</v>
      </c>
      <c r="Y12" s="614">
        <v>130</v>
      </c>
      <c r="Z12" s="522">
        <f>50188940831.13/AA8</f>
        <v>10197895119.603779</v>
      </c>
      <c r="AA12" s="524">
        <f>Z12*0.85</f>
        <v>8668210851.6632118</v>
      </c>
      <c r="AB12" s="333"/>
      <c r="AC12" s="258"/>
      <c r="AD12" s="258"/>
      <c r="AE12" s="258"/>
      <c r="AF12" s="258"/>
      <c r="AG12" s="258"/>
      <c r="AH12" s="258"/>
      <c r="AI12" s="258"/>
      <c r="AJ12" s="258"/>
      <c r="AK12" s="258"/>
      <c r="AL12" s="258"/>
      <c r="AM12" s="258"/>
      <c r="AN12" s="258"/>
      <c r="AO12" s="258"/>
      <c r="AP12" s="258"/>
      <c r="AQ12" s="258"/>
      <c r="AR12" s="258"/>
      <c r="AS12" s="258"/>
      <c r="AT12" s="258"/>
      <c r="AU12" s="258"/>
      <c r="AV12" s="258"/>
      <c r="AW12" s="258"/>
      <c r="AX12" s="258"/>
      <c r="AY12" s="258"/>
      <c r="AZ12" s="258"/>
      <c r="BA12" s="258"/>
      <c r="BB12" s="258"/>
      <c r="BC12" s="258"/>
      <c r="BD12" s="258"/>
      <c r="BE12" s="258"/>
      <c r="BF12" s="258"/>
      <c r="BG12" s="258"/>
      <c r="BH12" s="258"/>
      <c r="BI12" s="258"/>
      <c r="BJ12" s="258"/>
      <c r="BK12" s="258"/>
      <c r="BL12" s="258"/>
      <c r="BM12" s="258"/>
      <c r="BN12" s="258"/>
      <c r="BO12" s="258"/>
      <c r="BP12" s="258"/>
      <c r="BQ12" s="258"/>
      <c r="BR12" s="258"/>
      <c r="BS12" s="258"/>
      <c r="BT12" s="258"/>
      <c r="BU12" s="258"/>
      <c r="BV12" s="258"/>
      <c r="BW12" s="258"/>
      <c r="BX12" s="258"/>
      <c r="BY12" s="258"/>
      <c r="BZ12" s="258"/>
      <c r="CA12" s="258"/>
      <c r="CB12" s="258"/>
      <c r="CC12" s="258"/>
      <c r="CD12" s="258"/>
      <c r="CE12" s="258"/>
      <c r="CF12" s="258"/>
      <c r="CG12" s="258"/>
      <c r="CH12" s="258"/>
      <c r="CI12" s="258"/>
      <c r="CJ12" s="258"/>
      <c r="CK12" s="258"/>
      <c r="CL12" s="258"/>
      <c r="CM12" s="258"/>
      <c r="CN12" s="258"/>
      <c r="CO12" s="258"/>
      <c r="CP12" s="258"/>
      <c r="CQ12" s="258"/>
      <c r="CR12" s="258"/>
      <c r="CS12" s="258"/>
      <c r="CT12" s="258"/>
      <c r="CU12" s="258"/>
      <c r="CV12" s="258"/>
      <c r="CW12" s="258"/>
      <c r="CX12" s="258"/>
      <c r="CY12" s="258"/>
      <c r="CZ12" s="258"/>
      <c r="DA12" s="258"/>
      <c r="DB12" s="258"/>
      <c r="DC12" s="258"/>
      <c r="DD12" s="258"/>
      <c r="DE12" s="258"/>
      <c r="DF12" s="258"/>
      <c r="DG12" s="258"/>
      <c r="DH12" s="258"/>
      <c r="DI12" s="258"/>
      <c r="DJ12" s="258"/>
      <c r="DK12" s="258"/>
      <c r="DL12" s="258"/>
      <c r="DM12" s="258"/>
      <c r="DN12" s="258"/>
      <c r="DO12" s="258"/>
      <c r="DP12" s="258"/>
      <c r="DQ12" s="258"/>
      <c r="DR12" s="258"/>
      <c r="DS12" s="258"/>
      <c r="DT12" s="258"/>
      <c r="DU12" s="258"/>
      <c r="DV12" s="258"/>
      <c r="DW12" s="258"/>
      <c r="DX12" s="258"/>
      <c r="DY12" s="258"/>
      <c r="DZ12" s="258"/>
      <c r="EA12" s="258"/>
      <c r="EB12" s="258"/>
    </row>
    <row r="13" spans="1:132" s="261" customFormat="1">
      <c r="A13" s="601"/>
      <c r="B13" s="604"/>
      <c r="C13" s="353">
        <v>790085411</v>
      </c>
      <c r="D13" s="353">
        <f>C13*0.85</f>
        <v>671572599.35000002</v>
      </c>
      <c r="E13" s="570"/>
      <c r="F13" s="554"/>
      <c r="G13" s="570"/>
      <c r="H13" s="570"/>
      <c r="I13" s="570"/>
      <c r="J13" s="570"/>
      <c r="K13" s="570"/>
      <c r="L13" s="570"/>
      <c r="M13" s="570"/>
      <c r="N13" s="570"/>
      <c r="O13" s="570"/>
      <c r="P13" s="554"/>
      <c r="Q13" s="554"/>
      <c r="R13" s="619"/>
      <c r="S13" s="592"/>
      <c r="T13" s="592"/>
      <c r="U13" s="354"/>
      <c r="V13" s="354"/>
      <c r="W13" s="353">
        <v>790085411</v>
      </c>
      <c r="X13" s="353">
        <f>W13*0.85</f>
        <v>671572599.35000002</v>
      </c>
      <c r="Y13" s="615"/>
      <c r="Z13" s="626"/>
      <c r="AA13" s="617"/>
      <c r="AB13" s="333"/>
      <c r="AC13" s="258"/>
      <c r="AD13" s="258"/>
      <c r="AE13" s="258"/>
      <c r="AF13" s="258"/>
      <c r="AG13" s="258"/>
      <c r="AH13" s="258"/>
      <c r="AI13" s="258"/>
      <c r="AJ13" s="258"/>
      <c r="AK13" s="258"/>
      <c r="AL13" s="258"/>
      <c r="AM13" s="258"/>
      <c r="AN13" s="258"/>
      <c r="AO13" s="258"/>
      <c r="AP13" s="258"/>
      <c r="AQ13" s="258"/>
      <c r="AR13" s="258"/>
      <c r="AS13" s="258"/>
      <c r="AT13" s="258"/>
      <c r="AU13" s="258"/>
      <c r="AV13" s="258"/>
      <c r="AW13" s="258"/>
      <c r="AX13" s="258"/>
      <c r="AY13" s="258"/>
      <c r="AZ13" s="258"/>
      <c r="BA13" s="258"/>
      <c r="BB13" s="258"/>
      <c r="BC13" s="258"/>
      <c r="BD13" s="258"/>
      <c r="BE13" s="258"/>
      <c r="BF13" s="258"/>
      <c r="BG13" s="258"/>
      <c r="BH13" s="258"/>
      <c r="BI13" s="258"/>
      <c r="BJ13" s="258"/>
      <c r="BK13" s="258"/>
      <c r="BL13" s="258"/>
      <c r="BM13" s="258"/>
      <c r="BN13" s="258"/>
      <c r="BO13" s="258"/>
      <c r="BP13" s="258"/>
      <c r="BQ13" s="258"/>
      <c r="BR13" s="258"/>
      <c r="BS13" s="258"/>
      <c r="BT13" s="258"/>
      <c r="BU13" s="258"/>
      <c r="BV13" s="258"/>
      <c r="BW13" s="258"/>
      <c r="BX13" s="258"/>
      <c r="BY13" s="258"/>
      <c r="BZ13" s="258"/>
      <c r="CA13" s="258"/>
      <c r="CB13" s="258"/>
      <c r="CC13" s="258"/>
      <c r="CD13" s="258"/>
      <c r="CE13" s="258"/>
      <c r="CF13" s="258"/>
      <c r="CG13" s="258"/>
      <c r="CH13" s="258"/>
      <c r="CI13" s="258"/>
      <c r="CJ13" s="258"/>
      <c r="CK13" s="258"/>
      <c r="CL13" s="258"/>
      <c r="CM13" s="258"/>
      <c r="CN13" s="258"/>
      <c r="CO13" s="258"/>
      <c r="CP13" s="258"/>
      <c r="CQ13" s="258"/>
      <c r="CR13" s="258"/>
      <c r="CS13" s="258"/>
      <c r="CT13" s="258"/>
      <c r="CU13" s="258"/>
      <c r="CV13" s="258"/>
      <c r="CW13" s="258"/>
      <c r="CX13" s="258"/>
      <c r="CY13" s="258"/>
      <c r="CZ13" s="258"/>
      <c r="DA13" s="258"/>
      <c r="DB13" s="258"/>
      <c r="DC13" s="258"/>
      <c r="DD13" s="258"/>
      <c r="DE13" s="258"/>
      <c r="DF13" s="258"/>
      <c r="DG13" s="258"/>
      <c r="DH13" s="258"/>
      <c r="DI13" s="258"/>
      <c r="DJ13" s="258"/>
      <c r="DK13" s="258"/>
      <c r="DL13" s="258"/>
      <c r="DM13" s="258"/>
      <c r="DN13" s="258"/>
      <c r="DO13" s="258"/>
      <c r="DP13" s="258"/>
      <c r="DQ13" s="258"/>
      <c r="DR13" s="258"/>
      <c r="DS13" s="258"/>
      <c r="DT13" s="258"/>
      <c r="DU13" s="258"/>
      <c r="DV13" s="258"/>
      <c r="DW13" s="258"/>
      <c r="DX13" s="258"/>
      <c r="DY13" s="258"/>
      <c r="DZ13" s="258"/>
      <c r="EA13" s="258"/>
      <c r="EB13" s="258"/>
    </row>
    <row r="14" spans="1:132" s="261" customFormat="1" ht="36.75" customHeight="1">
      <c r="A14" s="601"/>
      <c r="B14" s="604"/>
      <c r="C14" s="351">
        <v>113134232</v>
      </c>
      <c r="D14" s="351">
        <f>C14*0.85</f>
        <v>96164097.200000003</v>
      </c>
      <c r="E14" s="570"/>
      <c r="F14" s="554"/>
      <c r="G14" s="570"/>
      <c r="H14" s="570"/>
      <c r="I14" s="570"/>
      <c r="J14" s="570"/>
      <c r="K14" s="570"/>
      <c r="L14" s="570"/>
      <c r="M14" s="570"/>
      <c r="N14" s="570"/>
      <c r="O14" s="570"/>
      <c r="P14" s="554"/>
      <c r="Q14" s="554"/>
      <c r="R14" s="620"/>
      <c r="S14" s="593"/>
      <c r="T14" s="593"/>
      <c r="U14" s="355"/>
      <c r="V14" s="355"/>
      <c r="W14" s="351">
        <v>113134232</v>
      </c>
      <c r="X14" s="351">
        <f>W14*0.85</f>
        <v>96164097.200000003</v>
      </c>
      <c r="Y14" s="615"/>
      <c r="Z14" s="626"/>
      <c r="AA14" s="617"/>
      <c r="AB14" s="333"/>
      <c r="AC14" s="258"/>
      <c r="AD14" s="258"/>
      <c r="AE14" s="258"/>
      <c r="AF14" s="258"/>
      <c r="AG14" s="258"/>
      <c r="AH14" s="258"/>
      <c r="AI14" s="258"/>
      <c r="AJ14" s="258"/>
      <c r="AK14" s="258"/>
      <c r="AL14" s="258"/>
      <c r="AM14" s="258"/>
      <c r="AN14" s="258"/>
      <c r="AO14" s="258"/>
      <c r="AP14" s="258"/>
      <c r="AQ14" s="258"/>
      <c r="AR14" s="258"/>
      <c r="AS14" s="258"/>
      <c r="AT14" s="258"/>
      <c r="AU14" s="258"/>
      <c r="AV14" s="258"/>
      <c r="AW14" s="258"/>
      <c r="AX14" s="258"/>
      <c r="AY14" s="258"/>
      <c r="AZ14" s="258"/>
      <c r="BA14" s="258"/>
      <c r="BB14" s="258"/>
      <c r="BC14" s="258"/>
      <c r="BD14" s="258"/>
      <c r="BE14" s="258"/>
      <c r="BF14" s="258"/>
      <c r="BG14" s="258"/>
      <c r="BH14" s="258"/>
      <c r="BI14" s="258"/>
      <c r="BJ14" s="258"/>
      <c r="BK14" s="258"/>
      <c r="BL14" s="258"/>
      <c r="BM14" s="258"/>
      <c r="BN14" s="258"/>
      <c r="BO14" s="258"/>
      <c r="BP14" s="258"/>
      <c r="BQ14" s="258"/>
      <c r="BR14" s="258"/>
      <c r="BS14" s="258"/>
      <c r="BT14" s="258"/>
      <c r="BU14" s="258"/>
      <c r="BV14" s="258"/>
      <c r="BW14" s="258"/>
      <c r="BX14" s="258"/>
      <c r="BY14" s="258"/>
      <c r="BZ14" s="258"/>
      <c r="CA14" s="258"/>
      <c r="CB14" s="258"/>
      <c r="CC14" s="258"/>
      <c r="CD14" s="258"/>
      <c r="CE14" s="258"/>
      <c r="CF14" s="258"/>
      <c r="CG14" s="258"/>
      <c r="CH14" s="258"/>
      <c r="CI14" s="258"/>
      <c r="CJ14" s="258"/>
      <c r="CK14" s="258"/>
      <c r="CL14" s="258"/>
      <c r="CM14" s="258"/>
      <c r="CN14" s="258"/>
      <c r="CO14" s="258"/>
      <c r="CP14" s="258"/>
      <c r="CQ14" s="258"/>
      <c r="CR14" s="258"/>
      <c r="CS14" s="258"/>
      <c r="CT14" s="258"/>
      <c r="CU14" s="258"/>
      <c r="CV14" s="258"/>
      <c r="CW14" s="258"/>
      <c r="CX14" s="258"/>
      <c r="CY14" s="258"/>
      <c r="CZ14" s="258"/>
      <c r="DA14" s="258"/>
      <c r="DB14" s="258"/>
      <c r="DC14" s="258"/>
      <c r="DD14" s="258"/>
      <c r="DE14" s="258"/>
      <c r="DF14" s="258"/>
      <c r="DG14" s="258"/>
      <c r="DH14" s="258"/>
      <c r="DI14" s="258"/>
      <c r="DJ14" s="258"/>
      <c r="DK14" s="258"/>
      <c r="DL14" s="258"/>
      <c r="DM14" s="258"/>
      <c r="DN14" s="258"/>
      <c r="DO14" s="258"/>
      <c r="DP14" s="258"/>
      <c r="DQ14" s="258"/>
      <c r="DR14" s="258"/>
      <c r="DS14" s="258"/>
      <c r="DT14" s="258"/>
      <c r="DU14" s="258"/>
      <c r="DV14" s="258"/>
      <c r="DW14" s="258"/>
      <c r="DX14" s="258"/>
      <c r="DY14" s="258"/>
      <c r="DZ14" s="258"/>
      <c r="EA14" s="258"/>
      <c r="EB14" s="258"/>
    </row>
    <row r="15" spans="1:132" s="262" customFormat="1" ht="64.5" customHeight="1">
      <c r="A15" s="601"/>
      <c r="B15" s="356" t="s">
        <v>14</v>
      </c>
      <c r="C15" s="357">
        <f>C12+C13+C14</f>
        <v>2705472460</v>
      </c>
      <c r="D15" s="357">
        <f>D12+D13+D14</f>
        <v>2299651591</v>
      </c>
      <c r="E15" s="570"/>
      <c r="F15" s="558"/>
      <c r="G15" s="570"/>
      <c r="H15" s="570"/>
      <c r="I15" s="570"/>
      <c r="J15" s="570"/>
      <c r="K15" s="570"/>
      <c r="L15" s="570"/>
      <c r="M15" s="570"/>
      <c r="N15" s="570"/>
      <c r="O15" s="570"/>
      <c r="P15" s="558"/>
      <c r="Q15" s="313" t="s">
        <v>342</v>
      </c>
      <c r="R15" s="358" t="s">
        <v>320</v>
      </c>
      <c r="S15" s="359" t="s">
        <v>325</v>
      </c>
      <c r="T15" s="360" t="s">
        <v>360</v>
      </c>
      <c r="U15" s="361" t="s">
        <v>398</v>
      </c>
      <c r="V15" s="361" t="s">
        <v>399</v>
      </c>
      <c r="W15" s="357">
        <f>W12+W13+W14</f>
        <v>2705472460</v>
      </c>
      <c r="X15" s="357">
        <f>X12+X13+X14</f>
        <v>2299651591</v>
      </c>
      <c r="Y15" s="616"/>
      <c r="Z15" s="523"/>
      <c r="AA15" s="525"/>
      <c r="AB15" s="333"/>
      <c r="AC15" s="258"/>
      <c r="AD15" s="258"/>
      <c r="AE15" s="258"/>
      <c r="AF15" s="258"/>
      <c r="AG15" s="258"/>
      <c r="AH15" s="258"/>
      <c r="AI15" s="258"/>
      <c r="AJ15" s="258"/>
      <c r="AK15" s="258"/>
      <c r="AL15" s="258"/>
      <c r="AM15" s="258"/>
      <c r="AN15" s="258"/>
      <c r="AO15" s="258"/>
      <c r="AP15" s="258"/>
      <c r="AQ15" s="258"/>
      <c r="AR15" s="258"/>
      <c r="AS15" s="258"/>
      <c r="AT15" s="258"/>
      <c r="AU15" s="258"/>
      <c r="AV15" s="258"/>
      <c r="AW15" s="258"/>
      <c r="AX15" s="258"/>
      <c r="AY15" s="258"/>
      <c r="AZ15" s="258"/>
      <c r="BA15" s="258"/>
      <c r="BB15" s="258"/>
      <c r="BC15" s="258"/>
      <c r="BD15" s="258"/>
      <c r="BE15" s="258"/>
      <c r="BF15" s="258"/>
      <c r="BG15" s="258"/>
      <c r="BH15" s="258"/>
      <c r="BI15" s="258"/>
      <c r="BJ15" s="258"/>
      <c r="BK15" s="258"/>
      <c r="BL15" s="258"/>
      <c r="BM15" s="258"/>
      <c r="BN15" s="258"/>
      <c r="BO15" s="258"/>
      <c r="BP15" s="258"/>
      <c r="BQ15" s="258"/>
      <c r="BR15" s="258"/>
      <c r="BS15" s="258"/>
      <c r="BT15" s="258"/>
      <c r="BU15" s="258"/>
      <c r="BV15" s="258"/>
      <c r="BW15" s="258"/>
      <c r="BX15" s="258"/>
      <c r="BY15" s="258"/>
      <c r="BZ15" s="258"/>
      <c r="CA15" s="258"/>
      <c r="CB15" s="258"/>
      <c r="CC15" s="258"/>
      <c r="CD15" s="258"/>
      <c r="CE15" s="258"/>
      <c r="CF15" s="258"/>
      <c r="CG15" s="258"/>
      <c r="CH15" s="258"/>
      <c r="CI15" s="258"/>
      <c r="CJ15" s="258"/>
      <c r="CK15" s="258"/>
      <c r="CL15" s="258"/>
      <c r="CM15" s="258"/>
      <c r="CN15" s="258"/>
      <c r="CO15" s="258"/>
      <c r="CP15" s="258"/>
      <c r="CQ15" s="258"/>
      <c r="CR15" s="258"/>
      <c r="CS15" s="258"/>
      <c r="CT15" s="258"/>
      <c r="CU15" s="258"/>
      <c r="CV15" s="258"/>
      <c r="CW15" s="258"/>
      <c r="CX15" s="258"/>
      <c r="CY15" s="258"/>
      <c r="CZ15" s="258"/>
      <c r="DA15" s="258"/>
      <c r="DB15" s="258"/>
      <c r="DC15" s="258"/>
      <c r="DD15" s="258"/>
      <c r="DE15" s="258"/>
      <c r="DF15" s="258"/>
      <c r="DG15" s="258"/>
      <c r="DH15" s="258"/>
      <c r="DI15" s="258"/>
      <c r="DJ15" s="258"/>
      <c r="DK15" s="258"/>
      <c r="DL15" s="258"/>
      <c r="DM15" s="258"/>
      <c r="DN15" s="258"/>
      <c r="DO15" s="258"/>
      <c r="DP15" s="258"/>
      <c r="DQ15" s="258"/>
      <c r="DR15" s="258"/>
      <c r="DS15" s="258"/>
      <c r="DT15" s="258"/>
      <c r="DU15" s="258"/>
      <c r="DV15" s="258"/>
      <c r="DW15" s="258"/>
      <c r="DX15" s="258"/>
      <c r="DY15" s="258"/>
      <c r="DZ15" s="258"/>
      <c r="EA15" s="258"/>
      <c r="EB15" s="258"/>
    </row>
    <row r="16" spans="1:132" s="261" customFormat="1" ht="93.2" customHeight="1">
      <c r="A16" s="601">
        <v>2</v>
      </c>
      <c r="B16" s="604" t="s">
        <v>490</v>
      </c>
      <c r="C16" s="362">
        <v>1321652065</v>
      </c>
      <c r="D16" s="362">
        <f>C16*0.85</f>
        <v>1123404255.25</v>
      </c>
      <c r="E16" s="570" t="s">
        <v>12</v>
      </c>
      <c r="F16" s="553" t="s">
        <v>213</v>
      </c>
      <c r="G16" s="570" t="s">
        <v>16</v>
      </c>
      <c r="H16" s="570" t="s">
        <v>12</v>
      </c>
      <c r="I16" s="570" t="s">
        <v>12</v>
      </c>
      <c r="J16" s="570" t="s">
        <v>12</v>
      </c>
      <c r="K16" s="570" t="s">
        <v>12</v>
      </c>
      <c r="L16" s="570" t="s">
        <v>12</v>
      </c>
      <c r="M16" s="570" t="s">
        <v>12</v>
      </c>
      <c r="N16" s="570" t="s">
        <v>12</v>
      </c>
      <c r="O16" s="570" t="s">
        <v>12</v>
      </c>
      <c r="P16" s="571" t="s">
        <v>462</v>
      </c>
      <c r="Q16" s="553" t="s">
        <v>341</v>
      </c>
      <c r="R16" s="608" t="s">
        <v>328</v>
      </c>
      <c r="S16" s="610" t="s">
        <v>326</v>
      </c>
      <c r="T16" s="610"/>
      <c r="U16" s="363"/>
      <c r="V16" s="363"/>
      <c r="W16" s="362">
        <v>1321652065</v>
      </c>
      <c r="X16" s="362">
        <f>W16*0.85</f>
        <v>1123404255.25</v>
      </c>
      <c r="Y16" s="621">
        <v>28</v>
      </c>
      <c r="Z16" s="622">
        <f>11168376700.442/AA8</f>
        <v>2269303403.5237222</v>
      </c>
      <c r="AA16" s="622">
        <f>9492402037.098/AA8</f>
        <v>1928761970.3541603</v>
      </c>
      <c r="AB16" s="333"/>
      <c r="AC16" s="323"/>
      <c r="AD16" s="324"/>
      <c r="AE16" s="258"/>
      <c r="AF16" s="258"/>
      <c r="AG16" s="258"/>
      <c r="AH16" s="258"/>
      <c r="AI16" s="258"/>
      <c r="AJ16" s="258"/>
      <c r="AK16" s="258"/>
      <c r="AL16" s="258"/>
      <c r="AM16" s="258"/>
      <c r="AN16" s="258"/>
      <c r="AO16" s="258"/>
      <c r="AP16" s="258"/>
      <c r="AQ16" s="258"/>
      <c r="AR16" s="258"/>
      <c r="AS16" s="258"/>
      <c r="AT16" s="258"/>
      <c r="AU16" s="258"/>
      <c r="AV16" s="258"/>
      <c r="AW16" s="258"/>
      <c r="AX16" s="258"/>
      <c r="AY16" s="258"/>
      <c r="AZ16" s="258"/>
      <c r="BA16" s="258"/>
      <c r="BB16" s="258"/>
      <c r="BC16" s="258"/>
      <c r="BD16" s="258"/>
      <c r="BE16" s="258"/>
      <c r="BF16" s="258"/>
      <c r="BG16" s="258"/>
      <c r="BH16" s="258"/>
      <c r="BI16" s="258"/>
      <c r="BJ16" s="258"/>
      <c r="BK16" s="258"/>
      <c r="BL16" s="258"/>
      <c r="BM16" s="258"/>
      <c r="BN16" s="258"/>
      <c r="BO16" s="258"/>
      <c r="BP16" s="258"/>
      <c r="BQ16" s="258"/>
      <c r="BR16" s="258"/>
      <c r="BS16" s="258"/>
      <c r="BT16" s="258"/>
      <c r="BU16" s="258"/>
      <c r="BV16" s="258"/>
      <c r="BW16" s="258"/>
      <c r="BX16" s="258"/>
      <c r="BY16" s="258"/>
      <c r="BZ16" s="258"/>
      <c r="CA16" s="258"/>
      <c r="CB16" s="258"/>
      <c r="CC16" s="258"/>
      <c r="CD16" s="258"/>
      <c r="CE16" s="258"/>
      <c r="CF16" s="258"/>
      <c r="CG16" s="258"/>
      <c r="CH16" s="258"/>
      <c r="CI16" s="258"/>
      <c r="CJ16" s="258"/>
      <c r="CK16" s="258"/>
      <c r="CL16" s="258"/>
      <c r="CM16" s="258"/>
      <c r="CN16" s="258"/>
      <c r="CO16" s="258"/>
      <c r="CP16" s="258"/>
      <c r="CQ16" s="258"/>
      <c r="CR16" s="258"/>
      <c r="CS16" s="258"/>
      <c r="CT16" s="258"/>
      <c r="CU16" s="258"/>
      <c r="CV16" s="258"/>
      <c r="CW16" s="258"/>
      <c r="CX16" s="258"/>
      <c r="CY16" s="258"/>
      <c r="CZ16" s="258"/>
      <c r="DA16" s="258"/>
      <c r="DB16" s="258"/>
      <c r="DC16" s="258"/>
      <c r="DD16" s="258"/>
      <c r="DE16" s="258"/>
      <c r="DF16" s="258"/>
      <c r="DG16" s="258"/>
      <c r="DH16" s="258"/>
      <c r="DI16" s="258"/>
      <c r="DJ16" s="258"/>
      <c r="DK16" s="258"/>
      <c r="DL16" s="258"/>
      <c r="DM16" s="258"/>
      <c r="DN16" s="258"/>
      <c r="DO16" s="258"/>
      <c r="DP16" s="258"/>
      <c r="DQ16" s="258"/>
      <c r="DR16" s="258"/>
      <c r="DS16" s="258"/>
      <c r="DT16" s="258"/>
      <c r="DU16" s="258"/>
      <c r="DV16" s="258"/>
      <c r="DW16" s="258"/>
      <c r="DX16" s="258"/>
      <c r="DY16" s="258"/>
      <c r="DZ16" s="258"/>
      <c r="EA16" s="258"/>
      <c r="EB16" s="258"/>
    </row>
    <row r="17" spans="1:132" s="261" customFormat="1" ht="42.75" customHeight="1">
      <c r="A17" s="601"/>
      <c r="B17" s="604"/>
      <c r="C17" s="364">
        <v>101852166</v>
      </c>
      <c r="D17" s="364">
        <f>C17*0.85</f>
        <v>86574341.099999994</v>
      </c>
      <c r="E17" s="570"/>
      <c r="F17" s="554"/>
      <c r="G17" s="570"/>
      <c r="H17" s="570"/>
      <c r="I17" s="570"/>
      <c r="J17" s="570"/>
      <c r="K17" s="570"/>
      <c r="L17" s="570"/>
      <c r="M17" s="570"/>
      <c r="N17" s="570"/>
      <c r="O17" s="570"/>
      <c r="P17" s="572"/>
      <c r="Q17" s="554"/>
      <c r="R17" s="609"/>
      <c r="S17" s="592"/>
      <c r="T17" s="593"/>
      <c r="U17" s="355"/>
      <c r="V17" s="355"/>
      <c r="W17" s="364">
        <v>101852166</v>
      </c>
      <c r="X17" s="364">
        <f>W17*0.85</f>
        <v>86574341.099999994</v>
      </c>
      <c r="Y17" s="621"/>
      <c r="Z17" s="623"/>
      <c r="AA17" s="623"/>
      <c r="AB17" s="333"/>
      <c r="AC17" s="258"/>
      <c r="AD17" s="258"/>
      <c r="AE17" s="258"/>
      <c r="AF17" s="258"/>
      <c r="AG17" s="258"/>
      <c r="AH17" s="258"/>
      <c r="AI17" s="258"/>
      <c r="AJ17" s="258"/>
      <c r="AK17" s="258"/>
      <c r="AL17" s="258"/>
      <c r="AM17" s="258"/>
      <c r="AN17" s="258"/>
      <c r="AO17" s="258"/>
      <c r="AP17" s="258"/>
      <c r="AQ17" s="258"/>
      <c r="AR17" s="258"/>
      <c r="AS17" s="258"/>
      <c r="AT17" s="258"/>
      <c r="AU17" s="258"/>
      <c r="AV17" s="258"/>
      <c r="AW17" s="258"/>
      <c r="AX17" s="258"/>
      <c r="AY17" s="258"/>
      <c r="AZ17" s="258"/>
      <c r="BA17" s="258"/>
      <c r="BB17" s="258"/>
      <c r="BC17" s="258"/>
      <c r="BD17" s="258"/>
      <c r="BE17" s="258"/>
      <c r="BF17" s="258"/>
      <c r="BG17" s="258"/>
      <c r="BH17" s="258"/>
      <c r="BI17" s="258"/>
      <c r="BJ17" s="258"/>
      <c r="BK17" s="258"/>
      <c r="BL17" s="258"/>
      <c r="BM17" s="258"/>
      <c r="BN17" s="258"/>
      <c r="BO17" s="258"/>
      <c r="BP17" s="258"/>
      <c r="BQ17" s="258"/>
      <c r="BR17" s="258"/>
      <c r="BS17" s="258"/>
      <c r="BT17" s="258"/>
      <c r="BU17" s="258"/>
      <c r="BV17" s="258"/>
      <c r="BW17" s="258"/>
      <c r="BX17" s="258"/>
      <c r="BY17" s="258"/>
      <c r="BZ17" s="258"/>
      <c r="CA17" s="258"/>
      <c r="CB17" s="258"/>
      <c r="CC17" s="258"/>
      <c r="CD17" s="258"/>
      <c r="CE17" s="258"/>
      <c r="CF17" s="258"/>
      <c r="CG17" s="258"/>
      <c r="CH17" s="258"/>
      <c r="CI17" s="258"/>
      <c r="CJ17" s="258"/>
      <c r="CK17" s="258"/>
      <c r="CL17" s="258"/>
      <c r="CM17" s="258"/>
      <c r="CN17" s="258"/>
      <c r="CO17" s="258"/>
      <c r="CP17" s="258"/>
      <c r="CQ17" s="258"/>
      <c r="CR17" s="258"/>
      <c r="CS17" s="258"/>
      <c r="CT17" s="258"/>
      <c r="CU17" s="258"/>
      <c r="CV17" s="258"/>
      <c r="CW17" s="258"/>
      <c r="CX17" s="258"/>
      <c r="CY17" s="258"/>
      <c r="CZ17" s="258"/>
      <c r="DA17" s="258"/>
      <c r="DB17" s="258"/>
      <c r="DC17" s="258"/>
      <c r="DD17" s="258"/>
      <c r="DE17" s="258"/>
      <c r="DF17" s="258"/>
      <c r="DG17" s="258"/>
      <c r="DH17" s="258"/>
      <c r="DI17" s="258"/>
      <c r="DJ17" s="258"/>
      <c r="DK17" s="258"/>
      <c r="DL17" s="258"/>
      <c r="DM17" s="258"/>
      <c r="DN17" s="258"/>
      <c r="DO17" s="258"/>
      <c r="DP17" s="258"/>
      <c r="DQ17" s="258"/>
      <c r="DR17" s="258"/>
      <c r="DS17" s="258"/>
      <c r="DT17" s="258"/>
      <c r="DU17" s="258"/>
      <c r="DV17" s="258"/>
      <c r="DW17" s="258"/>
      <c r="DX17" s="258"/>
      <c r="DY17" s="258"/>
      <c r="DZ17" s="258"/>
      <c r="EA17" s="258"/>
      <c r="EB17" s="258"/>
    </row>
    <row r="18" spans="1:132" s="262" customFormat="1" ht="102.2" customHeight="1">
      <c r="A18" s="601"/>
      <c r="B18" s="356" t="s">
        <v>15</v>
      </c>
      <c r="C18" s="357">
        <f>+C16+C17</f>
        <v>1423504231</v>
      </c>
      <c r="D18" s="357">
        <f>+D16+D17</f>
        <v>1209978596.3499999</v>
      </c>
      <c r="E18" s="570"/>
      <c r="F18" s="554"/>
      <c r="G18" s="570"/>
      <c r="H18" s="570"/>
      <c r="I18" s="570"/>
      <c r="J18" s="570"/>
      <c r="K18" s="570"/>
      <c r="L18" s="570"/>
      <c r="M18" s="570"/>
      <c r="N18" s="570"/>
      <c r="O18" s="570"/>
      <c r="P18" s="572"/>
      <c r="Q18" s="313" t="s">
        <v>338</v>
      </c>
      <c r="R18" s="365">
        <v>44926</v>
      </c>
      <c r="S18" s="359" t="s">
        <v>325</v>
      </c>
      <c r="T18" s="366" t="s">
        <v>361</v>
      </c>
      <c r="U18" s="367" t="s">
        <v>400</v>
      </c>
      <c r="V18" s="352" t="s">
        <v>401</v>
      </c>
      <c r="W18" s="357">
        <f>+W16+W17</f>
        <v>1423504231</v>
      </c>
      <c r="X18" s="357">
        <f>+X16+X17</f>
        <v>1209978596.3499999</v>
      </c>
      <c r="Y18" s="621"/>
      <c r="Z18" s="624"/>
      <c r="AA18" s="624"/>
      <c r="AB18" s="333"/>
      <c r="AC18" s="258"/>
      <c r="AD18" s="258"/>
      <c r="AE18" s="258"/>
      <c r="AF18" s="258"/>
      <c r="AG18" s="258"/>
      <c r="AH18" s="258"/>
      <c r="AI18" s="258"/>
      <c r="AJ18" s="258"/>
      <c r="AK18" s="258"/>
      <c r="AL18" s="258"/>
      <c r="AM18" s="258"/>
      <c r="AN18" s="258"/>
      <c r="AO18" s="258"/>
      <c r="AP18" s="258"/>
      <c r="AQ18" s="258"/>
      <c r="AR18" s="258"/>
      <c r="AS18" s="258"/>
      <c r="AT18" s="258"/>
      <c r="AU18" s="258"/>
      <c r="AV18" s="258"/>
      <c r="AW18" s="258"/>
      <c r="AX18" s="258"/>
      <c r="AY18" s="258"/>
      <c r="AZ18" s="258"/>
      <c r="BA18" s="258"/>
      <c r="BB18" s="258"/>
      <c r="BC18" s="258"/>
      <c r="BD18" s="258"/>
      <c r="BE18" s="258"/>
      <c r="BF18" s="258"/>
      <c r="BG18" s="258"/>
      <c r="BH18" s="258"/>
      <c r="BI18" s="258"/>
      <c r="BJ18" s="258"/>
      <c r="BK18" s="258"/>
      <c r="BL18" s="258"/>
      <c r="BM18" s="258"/>
      <c r="BN18" s="258"/>
      <c r="BO18" s="258"/>
      <c r="BP18" s="258"/>
      <c r="BQ18" s="258"/>
      <c r="BR18" s="258"/>
      <c r="BS18" s="258"/>
      <c r="BT18" s="258"/>
      <c r="BU18" s="258"/>
      <c r="BV18" s="258"/>
      <c r="BW18" s="258"/>
      <c r="BX18" s="258"/>
      <c r="BY18" s="258"/>
      <c r="BZ18" s="258"/>
      <c r="CA18" s="258"/>
      <c r="CB18" s="258"/>
      <c r="CC18" s="258"/>
      <c r="CD18" s="258"/>
      <c r="CE18" s="258"/>
      <c r="CF18" s="258"/>
      <c r="CG18" s="258"/>
      <c r="CH18" s="258"/>
      <c r="CI18" s="258"/>
      <c r="CJ18" s="258"/>
      <c r="CK18" s="258"/>
      <c r="CL18" s="258"/>
      <c r="CM18" s="258"/>
      <c r="CN18" s="258"/>
      <c r="CO18" s="258"/>
      <c r="CP18" s="258"/>
      <c r="CQ18" s="258"/>
      <c r="CR18" s="258"/>
      <c r="CS18" s="258"/>
      <c r="CT18" s="258"/>
      <c r="CU18" s="258"/>
      <c r="CV18" s="258"/>
      <c r="CW18" s="258"/>
      <c r="CX18" s="258"/>
      <c r="CY18" s="258"/>
      <c r="CZ18" s="258"/>
      <c r="DA18" s="258"/>
      <c r="DB18" s="258"/>
      <c r="DC18" s="258"/>
      <c r="DD18" s="258"/>
      <c r="DE18" s="258"/>
      <c r="DF18" s="258"/>
      <c r="DG18" s="258"/>
      <c r="DH18" s="258"/>
      <c r="DI18" s="258"/>
      <c r="DJ18" s="258"/>
      <c r="DK18" s="258"/>
      <c r="DL18" s="258"/>
      <c r="DM18" s="258"/>
      <c r="DN18" s="258"/>
      <c r="DO18" s="258"/>
      <c r="DP18" s="258"/>
      <c r="DQ18" s="258"/>
      <c r="DR18" s="258"/>
      <c r="DS18" s="258"/>
      <c r="DT18" s="258"/>
      <c r="DU18" s="258"/>
      <c r="DV18" s="258"/>
      <c r="DW18" s="258"/>
      <c r="DX18" s="258"/>
      <c r="DY18" s="258"/>
      <c r="DZ18" s="258"/>
      <c r="EA18" s="258"/>
      <c r="EB18" s="258"/>
    </row>
    <row r="19" spans="1:132" s="261" customFormat="1" ht="32.25" customHeight="1">
      <c r="A19" s="601">
        <v>3</v>
      </c>
      <c r="B19" s="602" t="s">
        <v>491</v>
      </c>
      <c r="C19" s="351">
        <v>240300375</v>
      </c>
      <c r="D19" s="351">
        <f>C19*0.85</f>
        <v>204255318.75</v>
      </c>
      <c r="E19" s="570" t="s">
        <v>331</v>
      </c>
      <c r="F19" s="553" t="s">
        <v>215</v>
      </c>
      <c r="G19" s="556" t="s">
        <v>440</v>
      </c>
      <c r="H19" s="570" t="s">
        <v>12</v>
      </c>
      <c r="I19" s="570" t="s">
        <v>12</v>
      </c>
      <c r="J19" s="570" t="s">
        <v>12</v>
      </c>
      <c r="K19" s="570" t="s">
        <v>12</v>
      </c>
      <c r="L19" s="570" t="s">
        <v>12</v>
      </c>
      <c r="M19" s="570" t="s">
        <v>12</v>
      </c>
      <c r="N19" s="570" t="s">
        <v>12</v>
      </c>
      <c r="O19" s="570" t="s">
        <v>12</v>
      </c>
      <c r="P19" s="553" t="s">
        <v>461</v>
      </c>
      <c r="Q19" s="589" t="s">
        <v>333</v>
      </c>
      <c r="R19" s="589" t="s">
        <v>304</v>
      </c>
      <c r="S19" s="563" t="s">
        <v>325</v>
      </c>
      <c r="T19" s="542" t="s">
        <v>362</v>
      </c>
      <c r="U19" s="542" t="s">
        <v>402</v>
      </c>
      <c r="V19" s="352"/>
      <c r="W19" s="351">
        <v>240300375</v>
      </c>
      <c r="X19" s="351">
        <f>W19*0.85</f>
        <v>204255318.75</v>
      </c>
      <c r="Y19" s="520">
        <v>31</v>
      </c>
      <c r="Z19" s="522">
        <f>2882790566.87/AA8</f>
        <v>585754458.37041545</v>
      </c>
      <c r="AA19" s="524">
        <f>2450371981.8395/AA8</f>
        <v>497891289.6148532</v>
      </c>
      <c r="AB19" s="333"/>
      <c r="AC19" s="258"/>
      <c r="AD19" s="258"/>
      <c r="AE19" s="258"/>
      <c r="AF19" s="258"/>
      <c r="AG19" s="258"/>
      <c r="AH19" s="258"/>
      <c r="AI19" s="258"/>
      <c r="AJ19" s="258"/>
      <c r="AK19" s="258"/>
      <c r="AL19" s="258"/>
      <c r="AM19" s="258"/>
      <c r="AN19" s="258"/>
      <c r="AO19" s="258"/>
      <c r="AP19" s="258"/>
      <c r="AQ19" s="258"/>
      <c r="AR19" s="258"/>
      <c r="AS19" s="258"/>
      <c r="AT19" s="258"/>
      <c r="AU19" s="258"/>
      <c r="AV19" s="258"/>
      <c r="AW19" s="258"/>
      <c r="AX19" s="258"/>
      <c r="AY19" s="258"/>
      <c r="AZ19" s="258"/>
      <c r="BA19" s="258"/>
      <c r="BB19" s="258"/>
      <c r="BC19" s="258"/>
      <c r="BD19" s="258"/>
      <c r="BE19" s="258"/>
      <c r="BF19" s="258"/>
      <c r="BG19" s="258"/>
      <c r="BH19" s="258"/>
      <c r="BI19" s="258"/>
      <c r="BJ19" s="258"/>
      <c r="BK19" s="258"/>
      <c r="BL19" s="258"/>
      <c r="BM19" s="258"/>
      <c r="BN19" s="258"/>
      <c r="BO19" s="258"/>
      <c r="BP19" s="258"/>
      <c r="BQ19" s="258"/>
      <c r="BR19" s="258"/>
      <c r="BS19" s="258"/>
      <c r="BT19" s="258"/>
      <c r="BU19" s="258"/>
      <c r="BV19" s="258"/>
      <c r="BW19" s="258"/>
      <c r="BX19" s="258"/>
      <c r="BY19" s="258"/>
      <c r="BZ19" s="258"/>
      <c r="CA19" s="258"/>
      <c r="CB19" s="258"/>
      <c r="CC19" s="258"/>
      <c r="CD19" s="258"/>
      <c r="CE19" s="258"/>
      <c r="CF19" s="258"/>
      <c r="CG19" s="258"/>
      <c r="CH19" s="258"/>
      <c r="CI19" s="258"/>
      <c r="CJ19" s="258"/>
      <c r="CK19" s="258"/>
      <c r="CL19" s="258"/>
      <c r="CM19" s="258"/>
      <c r="CN19" s="258"/>
      <c r="CO19" s="258"/>
      <c r="CP19" s="258"/>
      <c r="CQ19" s="258"/>
      <c r="CR19" s="258"/>
      <c r="CS19" s="258"/>
      <c r="CT19" s="258"/>
      <c r="CU19" s="258"/>
      <c r="CV19" s="258"/>
      <c r="CW19" s="258"/>
      <c r="CX19" s="258"/>
      <c r="CY19" s="258"/>
      <c r="CZ19" s="258"/>
      <c r="DA19" s="258"/>
      <c r="DB19" s="258"/>
      <c r="DC19" s="258"/>
      <c r="DD19" s="258"/>
      <c r="DE19" s="258"/>
      <c r="DF19" s="258"/>
      <c r="DG19" s="258"/>
      <c r="DH19" s="258"/>
      <c r="DI19" s="258"/>
      <c r="DJ19" s="258"/>
      <c r="DK19" s="258"/>
      <c r="DL19" s="258"/>
      <c r="DM19" s="258"/>
      <c r="DN19" s="258"/>
      <c r="DO19" s="258"/>
      <c r="DP19" s="258"/>
      <c r="DQ19" s="258"/>
      <c r="DR19" s="258"/>
      <c r="DS19" s="258"/>
      <c r="DT19" s="258"/>
      <c r="DU19" s="258"/>
      <c r="DV19" s="258"/>
      <c r="DW19" s="258"/>
      <c r="DX19" s="258"/>
      <c r="DY19" s="258"/>
      <c r="DZ19" s="258"/>
      <c r="EA19" s="258"/>
      <c r="EB19" s="258"/>
    </row>
    <row r="20" spans="1:132" s="261" customFormat="1" ht="63.75" customHeight="1">
      <c r="A20" s="601"/>
      <c r="B20" s="603"/>
      <c r="C20" s="368">
        <v>150845642</v>
      </c>
      <c r="D20" s="368">
        <f>C20*0.85</f>
        <v>128218795.7</v>
      </c>
      <c r="E20" s="570"/>
      <c r="F20" s="554"/>
      <c r="G20" s="584"/>
      <c r="H20" s="570"/>
      <c r="I20" s="570"/>
      <c r="J20" s="570"/>
      <c r="K20" s="570"/>
      <c r="L20" s="570"/>
      <c r="M20" s="570"/>
      <c r="N20" s="570"/>
      <c r="O20" s="570"/>
      <c r="P20" s="554"/>
      <c r="Q20" s="590"/>
      <c r="R20" s="590"/>
      <c r="S20" s="627"/>
      <c r="T20" s="592"/>
      <c r="U20" s="611"/>
      <c r="V20" s="354"/>
      <c r="W20" s="368">
        <v>150845642</v>
      </c>
      <c r="X20" s="368">
        <f>W20*0.85</f>
        <v>128218795.7</v>
      </c>
      <c r="Y20" s="625"/>
      <c r="Z20" s="626"/>
      <c r="AA20" s="617"/>
      <c r="AB20" s="333"/>
      <c r="AC20" s="316"/>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8"/>
      <c r="BA20" s="258"/>
      <c r="BB20" s="258"/>
      <c r="BC20" s="258"/>
      <c r="BD20" s="258"/>
      <c r="BE20" s="258"/>
      <c r="BF20" s="258"/>
      <c r="BG20" s="258"/>
      <c r="BH20" s="258"/>
      <c r="BI20" s="258"/>
      <c r="BJ20" s="258"/>
      <c r="BK20" s="258"/>
      <c r="BL20" s="258"/>
      <c r="BM20" s="258"/>
      <c r="BN20" s="258"/>
      <c r="BO20" s="258"/>
      <c r="BP20" s="258"/>
      <c r="BQ20" s="258"/>
      <c r="BR20" s="258"/>
      <c r="BS20" s="258"/>
      <c r="BT20" s="258"/>
      <c r="BU20" s="258"/>
      <c r="BV20" s="258"/>
      <c r="BW20" s="258"/>
      <c r="BX20" s="258"/>
      <c r="BY20" s="258"/>
      <c r="BZ20" s="258"/>
      <c r="CA20" s="258"/>
      <c r="CB20" s="258"/>
      <c r="CC20" s="258"/>
      <c r="CD20" s="258"/>
      <c r="CE20" s="258"/>
      <c r="CF20" s="258"/>
      <c r="CG20" s="258"/>
      <c r="CH20" s="258"/>
      <c r="CI20" s="258"/>
      <c r="CJ20" s="258"/>
      <c r="CK20" s="258"/>
      <c r="CL20" s="258"/>
      <c r="CM20" s="258"/>
      <c r="CN20" s="258"/>
      <c r="CO20" s="258"/>
      <c r="CP20" s="258"/>
      <c r="CQ20" s="258"/>
      <c r="CR20" s="258"/>
      <c r="CS20" s="258"/>
      <c r="CT20" s="258"/>
      <c r="CU20" s="258"/>
      <c r="CV20" s="258"/>
      <c r="CW20" s="258"/>
      <c r="CX20" s="258"/>
      <c r="CY20" s="258"/>
      <c r="CZ20" s="258"/>
      <c r="DA20" s="258"/>
      <c r="DB20" s="258"/>
      <c r="DC20" s="258"/>
      <c r="DD20" s="258"/>
      <c r="DE20" s="258"/>
      <c r="DF20" s="258"/>
      <c r="DG20" s="258"/>
      <c r="DH20" s="258"/>
      <c r="DI20" s="258"/>
      <c r="DJ20" s="258"/>
      <c r="DK20" s="258"/>
      <c r="DL20" s="258"/>
      <c r="DM20" s="258"/>
      <c r="DN20" s="258"/>
      <c r="DO20" s="258"/>
      <c r="DP20" s="258"/>
      <c r="DQ20" s="258"/>
      <c r="DR20" s="258"/>
      <c r="DS20" s="258"/>
      <c r="DT20" s="258"/>
      <c r="DU20" s="258"/>
      <c r="DV20" s="258"/>
      <c r="DW20" s="258"/>
      <c r="DX20" s="258"/>
      <c r="DY20" s="258"/>
      <c r="DZ20" s="258"/>
      <c r="EA20" s="258"/>
      <c r="EB20" s="258"/>
    </row>
    <row r="21" spans="1:132" s="262" customFormat="1" ht="117" customHeight="1">
      <c r="A21" s="601"/>
      <c r="B21" s="356" t="s">
        <v>17</v>
      </c>
      <c r="C21" s="357">
        <f>C19+C20</f>
        <v>391146017</v>
      </c>
      <c r="D21" s="357">
        <f>D19+D20</f>
        <v>332474114.44999999</v>
      </c>
      <c r="E21" s="570"/>
      <c r="F21" s="554"/>
      <c r="G21" s="557"/>
      <c r="H21" s="570"/>
      <c r="I21" s="570"/>
      <c r="J21" s="570"/>
      <c r="K21" s="570"/>
      <c r="L21" s="570"/>
      <c r="M21" s="570"/>
      <c r="N21" s="570"/>
      <c r="O21" s="570"/>
      <c r="P21" s="558"/>
      <c r="Q21" s="591"/>
      <c r="R21" s="591"/>
      <c r="S21" s="564"/>
      <c r="T21" s="593"/>
      <c r="U21" s="543"/>
      <c r="V21" s="369" t="s">
        <v>403</v>
      </c>
      <c r="W21" s="357">
        <f>W19+W20</f>
        <v>391146017</v>
      </c>
      <c r="X21" s="357">
        <f>X19+X20</f>
        <v>332474114.44999999</v>
      </c>
      <c r="Y21" s="521"/>
      <c r="Z21" s="523"/>
      <c r="AA21" s="525"/>
      <c r="AB21" s="333"/>
      <c r="AC21" s="269"/>
      <c r="AD21" s="258"/>
      <c r="AE21" s="258"/>
      <c r="AF21" s="258"/>
      <c r="AG21" s="258"/>
      <c r="AH21" s="258"/>
      <c r="AI21" s="258"/>
      <c r="AJ21" s="258"/>
      <c r="AK21" s="258"/>
      <c r="AL21" s="258"/>
      <c r="AM21" s="258"/>
      <c r="AN21" s="258"/>
      <c r="AO21" s="258"/>
      <c r="AP21" s="258"/>
      <c r="AQ21" s="258"/>
      <c r="AR21" s="258"/>
      <c r="AS21" s="258"/>
      <c r="AT21" s="258"/>
      <c r="AU21" s="258"/>
      <c r="AV21" s="258"/>
      <c r="AW21" s="258"/>
      <c r="AX21" s="258"/>
      <c r="AY21" s="258"/>
      <c r="AZ21" s="258"/>
      <c r="BA21" s="258"/>
      <c r="BB21" s="258"/>
      <c r="BC21" s="258"/>
      <c r="BD21" s="258"/>
      <c r="BE21" s="258"/>
      <c r="BF21" s="258"/>
      <c r="BG21" s="258"/>
      <c r="BH21" s="258"/>
      <c r="BI21" s="258"/>
      <c r="BJ21" s="258"/>
      <c r="BK21" s="258"/>
      <c r="BL21" s="258"/>
      <c r="BM21" s="258"/>
      <c r="BN21" s="258"/>
      <c r="BO21" s="258"/>
      <c r="BP21" s="258"/>
      <c r="BQ21" s="258"/>
      <c r="BR21" s="258"/>
      <c r="BS21" s="258"/>
      <c r="BT21" s="258"/>
      <c r="BU21" s="258"/>
      <c r="BV21" s="258"/>
      <c r="BW21" s="258"/>
      <c r="BX21" s="258"/>
      <c r="BY21" s="258"/>
      <c r="BZ21" s="258"/>
      <c r="CA21" s="258"/>
      <c r="CB21" s="258"/>
      <c r="CC21" s="258"/>
      <c r="CD21" s="258"/>
      <c r="CE21" s="258"/>
      <c r="CF21" s="258"/>
      <c r="CG21" s="258"/>
      <c r="CH21" s="258"/>
      <c r="CI21" s="258"/>
      <c r="CJ21" s="258"/>
      <c r="CK21" s="258"/>
      <c r="CL21" s="258"/>
      <c r="CM21" s="258"/>
      <c r="CN21" s="258"/>
      <c r="CO21" s="258"/>
      <c r="CP21" s="258"/>
      <c r="CQ21" s="258"/>
      <c r="CR21" s="258"/>
      <c r="CS21" s="258"/>
      <c r="CT21" s="258"/>
      <c r="CU21" s="258"/>
      <c r="CV21" s="258"/>
      <c r="CW21" s="258"/>
      <c r="CX21" s="258"/>
      <c r="CY21" s="258"/>
      <c r="CZ21" s="258"/>
      <c r="DA21" s="258"/>
      <c r="DB21" s="258"/>
      <c r="DC21" s="258"/>
      <c r="DD21" s="258"/>
      <c r="DE21" s="258"/>
      <c r="DF21" s="258"/>
      <c r="DG21" s="258"/>
      <c r="DH21" s="258"/>
      <c r="DI21" s="258"/>
      <c r="DJ21" s="258"/>
      <c r="DK21" s="258"/>
      <c r="DL21" s="258"/>
      <c r="DM21" s="258"/>
      <c r="DN21" s="258"/>
      <c r="DO21" s="258"/>
      <c r="DP21" s="258"/>
      <c r="DQ21" s="258"/>
      <c r="DR21" s="258"/>
      <c r="DS21" s="258"/>
      <c r="DT21" s="258"/>
      <c r="DU21" s="258"/>
      <c r="DV21" s="258"/>
      <c r="DW21" s="258"/>
      <c r="DX21" s="258"/>
      <c r="DY21" s="258"/>
      <c r="DZ21" s="258"/>
      <c r="EA21" s="258"/>
      <c r="EB21" s="258"/>
    </row>
    <row r="22" spans="1:132" s="261" customFormat="1" ht="87" customHeight="1">
      <c r="A22" s="548">
        <v>4</v>
      </c>
      <c r="B22" s="556" t="s">
        <v>305</v>
      </c>
      <c r="C22" s="568">
        <v>640801002</v>
      </c>
      <c r="D22" s="568">
        <f t="shared" ref="D22:D27" si="0">C22*0.85</f>
        <v>544680851.69999993</v>
      </c>
      <c r="E22" s="556" t="s">
        <v>12</v>
      </c>
      <c r="F22" s="553" t="s">
        <v>214</v>
      </c>
      <c r="G22" s="556" t="s">
        <v>7</v>
      </c>
      <c r="H22" s="370" t="s">
        <v>12</v>
      </c>
      <c r="I22" s="370" t="s">
        <v>12</v>
      </c>
      <c r="J22" s="370" t="s">
        <v>12</v>
      </c>
      <c r="K22" s="370" t="s">
        <v>12</v>
      </c>
      <c r="L22" s="370" t="s">
        <v>12</v>
      </c>
      <c r="M22" s="370" t="s">
        <v>12</v>
      </c>
      <c r="N22" s="370" t="s">
        <v>12</v>
      </c>
      <c r="O22" s="370" t="s">
        <v>12</v>
      </c>
      <c r="P22" s="571" t="s">
        <v>458</v>
      </c>
      <c r="Q22" s="371" t="s">
        <v>332</v>
      </c>
      <c r="R22" s="372" t="s">
        <v>328</v>
      </c>
      <c r="S22" s="366" t="s">
        <v>326</v>
      </c>
      <c r="T22" s="366"/>
      <c r="U22" s="367"/>
      <c r="V22" s="367"/>
      <c r="W22" s="568">
        <v>640801002</v>
      </c>
      <c r="X22" s="568">
        <f t="shared" ref="X22:X27" si="1">W22*0.85</f>
        <v>544680851.69999993</v>
      </c>
      <c r="Y22" s="520">
        <v>9</v>
      </c>
      <c r="Z22" s="522">
        <f>5421283502.5/AA8</f>
        <v>1101551052.0166616</v>
      </c>
      <c r="AA22" s="524">
        <f>4608090977.125/AA8</f>
        <v>936318394.21416235</v>
      </c>
      <c r="AB22" s="333"/>
      <c r="AC22" s="258"/>
      <c r="AD22" s="258"/>
      <c r="AE22" s="258"/>
      <c r="AF22" s="258"/>
      <c r="AG22" s="258"/>
      <c r="AH22" s="258"/>
      <c r="AI22" s="258"/>
      <c r="AJ22" s="258"/>
      <c r="AK22" s="258"/>
      <c r="AL22" s="258"/>
      <c r="AM22" s="258"/>
      <c r="AN22" s="258"/>
      <c r="AO22" s="258"/>
      <c r="AP22" s="258"/>
      <c r="AQ22" s="258"/>
      <c r="AR22" s="258"/>
      <c r="AS22" s="258"/>
      <c r="AT22" s="258"/>
      <c r="AU22" s="258"/>
      <c r="AV22" s="258"/>
      <c r="AW22" s="258"/>
      <c r="AX22" s="258"/>
      <c r="AY22" s="258"/>
      <c r="AZ22" s="258"/>
      <c r="BA22" s="258"/>
      <c r="BB22" s="258"/>
      <c r="BC22" s="258"/>
      <c r="BD22" s="258"/>
      <c r="BE22" s="258"/>
      <c r="BF22" s="258"/>
      <c r="BG22" s="258"/>
      <c r="BH22" s="258"/>
      <c r="BI22" s="258"/>
      <c r="BJ22" s="258"/>
      <c r="BK22" s="258"/>
      <c r="BL22" s="258"/>
      <c r="BM22" s="258"/>
      <c r="BN22" s="258"/>
      <c r="BO22" s="258"/>
      <c r="BP22" s="258"/>
      <c r="BQ22" s="258"/>
      <c r="BR22" s="258"/>
      <c r="BS22" s="258"/>
      <c r="BT22" s="258"/>
      <c r="BU22" s="258"/>
      <c r="BV22" s="258"/>
      <c r="BW22" s="258"/>
      <c r="BX22" s="258"/>
      <c r="BY22" s="258"/>
      <c r="BZ22" s="258"/>
      <c r="CA22" s="258"/>
      <c r="CB22" s="258"/>
      <c r="CC22" s="258"/>
      <c r="CD22" s="258"/>
      <c r="CE22" s="258"/>
      <c r="CF22" s="258"/>
      <c r="CG22" s="258"/>
      <c r="CH22" s="258"/>
      <c r="CI22" s="258"/>
      <c r="CJ22" s="258"/>
      <c r="CK22" s="258"/>
      <c r="CL22" s="258"/>
      <c r="CM22" s="258"/>
      <c r="CN22" s="258"/>
      <c r="CO22" s="258"/>
      <c r="CP22" s="258"/>
      <c r="CQ22" s="258"/>
      <c r="CR22" s="258"/>
      <c r="CS22" s="258"/>
      <c r="CT22" s="258"/>
      <c r="CU22" s="258"/>
      <c r="CV22" s="258"/>
      <c r="CW22" s="258"/>
      <c r="CX22" s="258"/>
      <c r="CY22" s="258"/>
      <c r="CZ22" s="258"/>
      <c r="DA22" s="258"/>
      <c r="DB22" s="258"/>
      <c r="DC22" s="258"/>
      <c r="DD22" s="258"/>
      <c r="DE22" s="258"/>
      <c r="DF22" s="258"/>
      <c r="DG22" s="258"/>
      <c r="DH22" s="258"/>
      <c r="DI22" s="258"/>
      <c r="DJ22" s="258"/>
      <c r="DK22" s="258"/>
      <c r="DL22" s="258"/>
      <c r="DM22" s="258"/>
      <c r="DN22" s="258"/>
      <c r="DO22" s="258"/>
      <c r="DP22" s="258"/>
      <c r="DQ22" s="258"/>
      <c r="DR22" s="258"/>
      <c r="DS22" s="258"/>
      <c r="DT22" s="258"/>
      <c r="DU22" s="258"/>
      <c r="DV22" s="258"/>
      <c r="DW22" s="258"/>
      <c r="DX22" s="258"/>
      <c r="DY22" s="258"/>
      <c r="DZ22" s="258"/>
      <c r="EA22" s="258"/>
      <c r="EB22" s="258"/>
    </row>
    <row r="23" spans="1:132" s="261" customFormat="1" ht="87" customHeight="1">
      <c r="A23" s="549"/>
      <c r="B23" s="557"/>
      <c r="C23" s="569"/>
      <c r="D23" s="569">
        <f t="shared" si="0"/>
        <v>0</v>
      </c>
      <c r="E23" s="557"/>
      <c r="F23" s="554"/>
      <c r="G23" s="557"/>
      <c r="H23" s="370"/>
      <c r="I23" s="370"/>
      <c r="J23" s="370"/>
      <c r="K23" s="370"/>
      <c r="L23" s="370"/>
      <c r="M23" s="370"/>
      <c r="N23" s="370"/>
      <c r="O23" s="370"/>
      <c r="P23" s="571"/>
      <c r="Q23" s="313" t="s">
        <v>457</v>
      </c>
      <c r="R23" s="365" t="s">
        <v>320</v>
      </c>
      <c r="S23" s="359" t="s">
        <v>325</v>
      </c>
      <c r="T23" s="366" t="s">
        <v>363</v>
      </c>
      <c r="U23" s="355" t="s">
        <v>406</v>
      </c>
      <c r="V23" s="369" t="s">
        <v>407</v>
      </c>
      <c r="W23" s="569"/>
      <c r="X23" s="569">
        <f t="shared" si="1"/>
        <v>0</v>
      </c>
      <c r="Y23" s="521"/>
      <c r="Z23" s="523"/>
      <c r="AA23" s="525"/>
      <c r="AB23" s="333"/>
      <c r="AC23" s="258"/>
      <c r="AD23" s="306"/>
      <c r="AE23" s="306"/>
      <c r="AF23" s="306"/>
      <c r="AG23" s="306"/>
      <c r="AH23" s="306"/>
      <c r="AI23" s="306"/>
      <c r="AJ23" s="306"/>
      <c r="AK23" s="306"/>
      <c r="AL23" s="306"/>
      <c r="AM23" s="305"/>
      <c r="AN23" s="305"/>
      <c r="AO23" s="305"/>
      <c r="AP23" s="307"/>
      <c r="AQ23" s="307"/>
      <c r="AR23" s="308"/>
      <c r="AS23" s="258"/>
      <c r="AT23" s="258"/>
      <c r="AU23" s="258"/>
      <c r="AV23" s="258"/>
      <c r="AW23" s="258"/>
      <c r="AX23" s="258"/>
      <c r="AY23" s="258"/>
      <c r="AZ23" s="258"/>
      <c r="BA23" s="258"/>
      <c r="BB23" s="258"/>
      <c r="BC23" s="258"/>
      <c r="BD23" s="258"/>
      <c r="BE23" s="258"/>
      <c r="BF23" s="258"/>
      <c r="BG23" s="258"/>
      <c r="BH23" s="258"/>
      <c r="BI23" s="258"/>
      <c r="BJ23" s="258"/>
      <c r="BK23" s="258"/>
      <c r="BL23" s="258"/>
      <c r="BM23" s="258"/>
      <c r="BN23" s="258"/>
      <c r="BO23" s="258"/>
      <c r="BP23" s="258"/>
      <c r="BQ23" s="258"/>
      <c r="BR23" s="258"/>
      <c r="BS23" s="258"/>
      <c r="BT23" s="258"/>
      <c r="BU23" s="258"/>
      <c r="BV23" s="258"/>
      <c r="BW23" s="258"/>
      <c r="BX23" s="258"/>
      <c r="BY23" s="258"/>
      <c r="BZ23" s="258"/>
      <c r="CA23" s="258"/>
      <c r="CB23" s="258"/>
      <c r="CC23" s="258"/>
      <c r="CD23" s="258"/>
      <c r="CE23" s="258"/>
      <c r="CF23" s="258"/>
      <c r="CG23" s="258"/>
      <c r="CH23" s="258"/>
      <c r="CI23" s="258"/>
      <c r="CJ23" s="258"/>
      <c r="CK23" s="258"/>
      <c r="CL23" s="258"/>
      <c r="CM23" s="258"/>
      <c r="CN23" s="258"/>
      <c r="CO23" s="258"/>
      <c r="CP23" s="258"/>
      <c r="CQ23" s="258"/>
      <c r="CR23" s="258"/>
      <c r="CS23" s="258"/>
      <c r="CT23" s="258"/>
      <c r="CU23" s="258"/>
      <c r="CV23" s="258"/>
      <c r="CW23" s="258"/>
      <c r="CX23" s="258"/>
      <c r="CY23" s="258"/>
      <c r="CZ23" s="258"/>
      <c r="DA23" s="258"/>
      <c r="DB23" s="258"/>
      <c r="DC23" s="258"/>
      <c r="DD23" s="258"/>
      <c r="DE23" s="258"/>
      <c r="DF23" s="258"/>
      <c r="DG23" s="258"/>
      <c r="DH23" s="258"/>
      <c r="DI23" s="258"/>
      <c r="DJ23" s="258"/>
      <c r="DK23" s="258"/>
      <c r="DL23" s="258"/>
      <c r="DM23" s="258"/>
      <c r="DN23" s="258"/>
      <c r="DO23" s="258"/>
      <c r="DP23" s="258"/>
      <c r="DQ23" s="258"/>
      <c r="DR23" s="258"/>
      <c r="DS23" s="258"/>
      <c r="DT23" s="258"/>
      <c r="DU23" s="258"/>
      <c r="DV23" s="258"/>
      <c r="DW23" s="258"/>
      <c r="DX23" s="258"/>
      <c r="DY23" s="258"/>
      <c r="DZ23" s="258"/>
      <c r="EA23" s="258"/>
      <c r="EB23" s="258"/>
    </row>
    <row r="24" spans="1:132" s="261" customFormat="1" ht="91.5" customHeight="1">
      <c r="A24" s="548">
        <v>5</v>
      </c>
      <c r="B24" s="556" t="s">
        <v>364</v>
      </c>
      <c r="C24" s="555">
        <v>47139264</v>
      </c>
      <c r="D24" s="555">
        <f t="shared" si="0"/>
        <v>40068374.399999999</v>
      </c>
      <c r="E24" s="556" t="s">
        <v>12</v>
      </c>
      <c r="F24" s="553" t="s">
        <v>212</v>
      </c>
      <c r="G24" s="370" t="s">
        <v>149</v>
      </c>
      <c r="H24" s="370"/>
      <c r="I24" s="370"/>
      <c r="J24" s="370"/>
      <c r="K24" s="370"/>
      <c r="L24" s="370"/>
      <c r="M24" s="370"/>
      <c r="N24" s="370"/>
      <c r="O24" s="370"/>
      <c r="P24" s="371" t="s">
        <v>345</v>
      </c>
      <c r="Q24" s="371" t="s">
        <v>340</v>
      </c>
      <c r="R24" s="375" t="s">
        <v>334</v>
      </c>
      <c r="S24" s="366" t="s">
        <v>326</v>
      </c>
      <c r="T24" s="366"/>
      <c r="U24" s="367"/>
      <c r="V24" s="367"/>
      <c r="W24" s="555">
        <v>47139264</v>
      </c>
      <c r="X24" s="555">
        <f t="shared" si="1"/>
        <v>40068374.399999999</v>
      </c>
      <c r="Y24" s="373">
        <v>0</v>
      </c>
      <c r="Z24" s="319">
        <v>0</v>
      </c>
      <c r="AA24" s="319">
        <v>0</v>
      </c>
      <c r="AB24" s="333"/>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258"/>
      <c r="AZ24" s="258"/>
      <c r="BA24" s="258"/>
      <c r="BB24" s="258"/>
      <c r="BC24" s="258"/>
      <c r="BD24" s="258"/>
      <c r="BE24" s="258"/>
      <c r="BF24" s="258"/>
      <c r="BG24" s="258"/>
      <c r="BH24" s="258"/>
      <c r="BI24" s="258"/>
      <c r="BJ24" s="258"/>
      <c r="BK24" s="258"/>
      <c r="BL24" s="258"/>
      <c r="BM24" s="258"/>
      <c r="BN24" s="258"/>
      <c r="BO24" s="258"/>
      <c r="BP24" s="258"/>
      <c r="BQ24" s="258"/>
      <c r="BR24" s="258"/>
      <c r="BS24" s="258"/>
      <c r="BT24" s="258"/>
      <c r="BU24" s="258"/>
      <c r="BV24" s="258"/>
      <c r="BW24" s="258"/>
      <c r="BX24" s="258"/>
      <c r="BY24" s="258"/>
      <c r="BZ24" s="258"/>
      <c r="CA24" s="258"/>
      <c r="CB24" s="258"/>
      <c r="CC24" s="258"/>
      <c r="CD24" s="258"/>
      <c r="CE24" s="258"/>
      <c r="CF24" s="258"/>
      <c r="CG24" s="258"/>
      <c r="CH24" s="258"/>
      <c r="CI24" s="258"/>
      <c r="CJ24" s="258"/>
      <c r="CK24" s="258"/>
      <c r="CL24" s="258"/>
      <c r="CM24" s="258"/>
      <c r="CN24" s="258"/>
      <c r="CO24" s="258"/>
      <c r="CP24" s="258"/>
      <c r="CQ24" s="258"/>
      <c r="CR24" s="258"/>
      <c r="CS24" s="258"/>
      <c r="CT24" s="258"/>
      <c r="CU24" s="258"/>
      <c r="CV24" s="258"/>
      <c r="CW24" s="258"/>
      <c r="CX24" s="258"/>
      <c r="CY24" s="258"/>
      <c r="CZ24" s="258"/>
      <c r="DA24" s="258"/>
      <c r="DB24" s="258"/>
      <c r="DC24" s="258"/>
      <c r="DD24" s="258"/>
      <c r="DE24" s="258"/>
      <c r="DF24" s="258"/>
      <c r="DG24" s="258"/>
      <c r="DH24" s="258"/>
      <c r="DI24" s="258"/>
      <c r="DJ24" s="258"/>
      <c r="DK24" s="258"/>
      <c r="DL24" s="258"/>
      <c r="DM24" s="258"/>
      <c r="DN24" s="258"/>
      <c r="DO24" s="258"/>
      <c r="DP24" s="258"/>
      <c r="DQ24" s="258"/>
      <c r="DR24" s="258"/>
      <c r="DS24" s="258"/>
      <c r="DT24" s="258"/>
      <c r="DU24" s="258"/>
      <c r="DV24" s="258"/>
      <c r="DW24" s="258"/>
      <c r="DX24" s="258"/>
      <c r="DY24" s="258"/>
      <c r="DZ24" s="258"/>
      <c r="EA24" s="258"/>
      <c r="EB24" s="258"/>
    </row>
    <row r="25" spans="1:132" s="261" customFormat="1" ht="382.7" customHeight="1">
      <c r="A25" s="549"/>
      <c r="B25" s="557"/>
      <c r="C25" s="555"/>
      <c r="D25" s="555">
        <f t="shared" si="0"/>
        <v>0</v>
      </c>
      <c r="E25" s="557"/>
      <c r="F25" s="554"/>
      <c r="G25" s="370" t="s">
        <v>8</v>
      </c>
      <c r="H25" s="370" t="s">
        <v>12</v>
      </c>
      <c r="I25" s="370" t="s">
        <v>12</v>
      </c>
      <c r="J25" s="370" t="s">
        <v>12</v>
      </c>
      <c r="K25" s="370" t="s">
        <v>12</v>
      </c>
      <c r="L25" s="370" t="s">
        <v>12</v>
      </c>
      <c r="M25" s="370" t="s">
        <v>12</v>
      </c>
      <c r="N25" s="370" t="s">
        <v>12</v>
      </c>
      <c r="O25" s="370" t="s">
        <v>12</v>
      </c>
      <c r="P25" s="376" t="s">
        <v>460</v>
      </c>
      <c r="Q25" s="313" t="s">
        <v>339</v>
      </c>
      <c r="R25" s="377" t="s">
        <v>304</v>
      </c>
      <c r="S25" s="359" t="s">
        <v>325</v>
      </c>
      <c r="T25" s="366" t="s">
        <v>365</v>
      </c>
      <c r="U25" s="355" t="s">
        <v>404</v>
      </c>
      <c r="V25" s="369" t="s">
        <v>405</v>
      </c>
      <c r="W25" s="555"/>
      <c r="X25" s="555">
        <f t="shared" si="1"/>
        <v>0</v>
      </c>
      <c r="Y25" s="373">
        <v>30</v>
      </c>
      <c r="Z25" s="374">
        <f>1280644499.73/AA8</f>
        <v>260214263.88905823</v>
      </c>
      <c r="AA25" s="435">
        <f>1088547824.7705/AA8</f>
        <v>221182124.30569947</v>
      </c>
      <c r="AB25" s="333"/>
      <c r="AC25" s="258"/>
      <c r="AD25" s="258"/>
      <c r="AE25" s="258"/>
      <c r="AF25" s="258"/>
      <c r="AG25" s="258"/>
      <c r="AH25" s="258"/>
      <c r="AI25" s="258"/>
      <c r="AJ25" s="258"/>
      <c r="AK25" s="258"/>
      <c r="AL25" s="258"/>
      <c r="AM25" s="258"/>
      <c r="AN25" s="258"/>
      <c r="AO25" s="258"/>
      <c r="AP25" s="258"/>
      <c r="AQ25" s="258"/>
      <c r="AR25" s="258"/>
      <c r="AS25" s="258"/>
      <c r="AT25" s="258"/>
      <c r="AU25" s="258"/>
      <c r="AV25" s="258"/>
      <c r="AW25" s="258"/>
      <c r="AX25" s="258"/>
      <c r="AY25" s="258"/>
      <c r="AZ25" s="258"/>
      <c r="BA25" s="258"/>
      <c r="BB25" s="258"/>
      <c r="BC25" s="258"/>
      <c r="BD25" s="258"/>
      <c r="BE25" s="258"/>
      <c r="BF25" s="258"/>
      <c r="BG25" s="258"/>
      <c r="BH25" s="258"/>
      <c r="BI25" s="258"/>
      <c r="BJ25" s="258"/>
      <c r="BK25" s="258"/>
      <c r="BL25" s="258"/>
      <c r="BM25" s="258"/>
      <c r="BN25" s="258"/>
      <c r="BO25" s="258"/>
      <c r="BP25" s="258"/>
      <c r="BQ25" s="258"/>
      <c r="BR25" s="258"/>
      <c r="BS25" s="258"/>
      <c r="BT25" s="258"/>
      <c r="BU25" s="258"/>
      <c r="BV25" s="258"/>
      <c r="BW25" s="258"/>
      <c r="BX25" s="258"/>
      <c r="BY25" s="258"/>
      <c r="BZ25" s="258"/>
      <c r="CA25" s="258"/>
      <c r="CB25" s="258"/>
      <c r="CC25" s="258"/>
      <c r="CD25" s="258"/>
      <c r="CE25" s="258"/>
      <c r="CF25" s="258"/>
      <c r="CG25" s="258"/>
      <c r="CH25" s="258"/>
      <c r="CI25" s="258"/>
      <c r="CJ25" s="258"/>
      <c r="CK25" s="258"/>
      <c r="CL25" s="258"/>
      <c r="CM25" s="258"/>
      <c r="CN25" s="258"/>
      <c r="CO25" s="258"/>
      <c r="CP25" s="258"/>
      <c r="CQ25" s="258"/>
      <c r="CR25" s="258"/>
      <c r="CS25" s="258"/>
      <c r="CT25" s="258"/>
      <c r="CU25" s="258"/>
      <c r="CV25" s="258"/>
      <c r="CW25" s="258"/>
      <c r="CX25" s="258"/>
      <c r="CY25" s="258"/>
      <c r="CZ25" s="258"/>
      <c r="DA25" s="258"/>
      <c r="DB25" s="258"/>
      <c r="DC25" s="258"/>
      <c r="DD25" s="258"/>
      <c r="DE25" s="258"/>
      <c r="DF25" s="258"/>
      <c r="DG25" s="258"/>
      <c r="DH25" s="258"/>
      <c r="DI25" s="258"/>
      <c r="DJ25" s="258"/>
      <c r="DK25" s="258"/>
      <c r="DL25" s="258"/>
      <c r="DM25" s="258"/>
      <c r="DN25" s="258"/>
      <c r="DO25" s="258"/>
      <c r="DP25" s="258"/>
      <c r="DQ25" s="258"/>
      <c r="DR25" s="258"/>
      <c r="DS25" s="258"/>
      <c r="DT25" s="258"/>
      <c r="DU25" s="258"/>
      <c r="DV25" s="258"/>
      <c r="DW25" s="258"/>
      <c r="DX25" s="258"/>
      <c r="DY25" s="258"/>
      <c r="DZ25" s="258"/>
      <c r="EA25" s="258"/>
      <c r="EB25" s="258"/>
    </row>
    <row r="26" spans="1:132" s="261" customFormat="1" ht="91.7" customHeight="1">
      <c r="A26" s="548">
        <v>6</v>
      </c>
      <c r="B26" s="556" t="s">
        <v>306</v>
      </c>
      <c r="C26" s="536">
        <v>75422821</v>
      </c>
      <c r="D26" s="534">
        <f t="shared" si="0"/>
        <v>64109397.850000001</v>
      </c>
      <c r="E26" s="556" t="s">
        <v>12</v>
      </c>
      <c r="F26" s="553" t="s">
        <v>213</v>
      </c>
      <c r="G26" s="556" t="s">
        <v>357</v>
      </c>
      <c r="H26" s="370" t="s">
        <v>12</v>
      </c>
      <c r="I26" s="370" t="s">
        <v>12</v>
      </c>
      <c r="J26" s="370" t="s">
        <v>12</v>
      </c>
      <c r="K26" s="370" t="s">
        <v>12</v>
      </c>
      <c r="L26" s="370" t="s">
        <v>12</v>
      </c>
      <c r="M26" s="370" t="s">
        <v>12</v>
      </c>
      <c r="N26" s="370" t="s">
        <v>12</v>
      </c>
      <c r="O26" s="370" t="s">
        <v>12</v>
      </c>
      <c r="P26" s="553" t="s">
        <v>459</v>
      </c>
      <c r="Q26" s="371" t="s">
        <v>335</v>
      </c>
      <c r="R26" s="372" t="s">
        <v>328</v>
      </c>
      <c r="S26" s="366" t="s">
        <v>326</v>
      </c>
      <c r="T26" s="366"/>
      <c r="U26" s="367"/>
      <c r="V26" s="367"/>
      <c r="W26" s="536">
        <v>75422821</v>
      </c>
      <c r="X26" s="534">
        <f t="shared" si="1"/>
        <v>64109397.850000001</v>
      </c>
      <c r="Y26" s="520">
        <v>25</v>
      </c>
      <c r="Z26" s="522">
        <f>1569041613.357/AA8</f>
        <v>318813697.7256934</v>
      </c>
      <c r="AA26" s="522">
        <f>1333685371.373/AA8</f>
        <v>270991643.07081175</v>
      </c>
      <c r="AB26" s="333"/>
      <c r="AC26" s="258"/>
      <c r="AD26" s="258"/>
      <c r="AE26" s="258"/>
      <c r="AF26" s="258"/>
      <c r="AG26" s="258"/>
      <c r="AH26" s="258"/>
      <c r="AI26" s="258"/>
      <c r="AJ26" s="258"/>
      <c r="AK26" s="258"/>
      <c r="AL26" s="258"/>
      <c r="AM26" s="258"/>
      <c r="AN26" s="258"/>
      <c r="AO26" s="258"/>
      <c r="AP26" s="258"/>
      <c r="AQ26" s="258"/>
      <c r="AR26" s="258"/>
      <c r="AS26" s="258"/>
      <c r="AT26" s="258"/>
      <c r="AU26" s="258"/>
      <c r="AV26" s="258"/>
      <c r="AW26" s="258"/>
      <c r="AX26" s="258"/>
      <c r="AY26" s="258"/>
      <c r="AZ26" s="258"/>
      <c r="BA26" s="258"/>
      <c r="BB26" s="258"/>
      <c r="BC26" s="258"/>
      <c r="BD26" s="258"/>
      <c r="BE26" s="258"/>
      <c r="BF26" s="258"/>
      <c r="BG26" s="258"/>
      <c r="BH26" s="258"/>
      <c r="BI26" s="258"/>
      <c r="BJ26" s="258"/>
      <c r="BK26" s="258"/>
      <c r="BL26" s="258"/>
      <c r="BM26" s="258"/>
      <c r="BN26" s="258"/>
      <c r="BO26" s="258"/>
      <c r="BP26" s="258"/>
      <c r="BQ26" s="258"/>
      <c r="BR26" s="258"/>
      <c r="BS26" s="258"/>
      <c r="BT26" s="258"/>
      <c r="BU26" s="258"/>
      <c r="BV26" s="258"/>
      <c r="BW26" s="258"/>
      <c r="BX26" s="258"/>
      <c r="BY26" s="258"/>
      <c r="BZ26" s="258"/>
      <c r="CA26" s="258"/>
      <c r="CB26" s="258"/>
      <c r="CC26" s="258"/>
      <c r="CD26" s="258"/>
      <c r="CE26" s="258"/>
      <c r="CF26" s="258"/>
      <c r="CG26" s="258"/>
      <c r="CH26" s="258"/>
      <c r="CI26" s="258"/>
      <c r="CJ26" s="258"/>
      <c r="CK26" s="258"/>
      <c r="CL26" s="258"/>
      <c r="CM26" s="258"/>
      <c r="CN26" s="258"/>
      <c r="CO26" s="258"/>
      <c r="CP26" s="258"/>
      <c r="CQ26" s="258"/>
      <c r="CR26" s="258"/>
      <c r="CS26" s="258"/>
      <c r="CT26" s="258"/>
      <c r="CU26" s="258"/>
      <c r="CV26" s="258"/>
      <c r="CW26" s="258"/>
      <c r="CX26" s="258"/>
      <c r="CY26" s="258"/>
      <c r="CZ26" s="258"/>
      <c r="DA26" s="258"/>
      <c r="DB26" s="258"/>
      <c r="DC26" s="258"/>
      <c r="DD26" s="258"/>
      <c r="DE26" s="258"/>
      <c r="DF26" s="258"/>
      <c r="DG26" s="258"/>
      <c r="DH26" s="258"/>
      <c r="DI26" s="258"/>
      <c r="DJ26" s="258"/>
      <c r="DK26" s="258"/>
      <c r="DL26" s="258"/>
      <c r="DM26" s="258"/>
      <c r="DN26" s="258"/>
      <c r="DO26" s="258"/>
      <c r="DP26" s="258"/>
      <c r="DQ26" s="258"/>
      <c r="DR26" s="258"/>
      <c r="DS26" s="258"/>
      <c r="DT26" s="258"/>
      <c r="DU26" s="258"/>
      <c r="DV26" s="258"/>
      <c r="DW26" s="258"/>
      <c r="DX26" s="258"/>
      <c r="DY26" s="258"/>
      <c r="DZ26" s="258"/>
      <c r="EA26" s="258"/>
      <c r="EB26" s="258"/>
    </row>
    <row r="27" spans="1:132" s="261" customFormat="1" ht="75.400000000000006" customHeight="1">
      <c r="A27" s="549"/>
      <c r="B27" s="557"/>
      <c r="C27" s="537"/>
      <c r="D27" s="535">
        <f t="shared" si="0"/>
        <v>0</v>
      </c>
      <c r="E27" s="557"/>
      <c r="F27" s="554"/>
      <c r="G27" s="557"/>
      <c r="H27" s="370"/>
      <c r="I27" s="370"/>
      <c r="J27" s="370"/>
      <c r="K27" s="370"/>
      <c r="L27" s="370"/>
      <c r="M27" s="370"/>
      <c r="N27" s="370"/>
      <c r="O27" s="370"/>
      <c r="P27" s="558"/>
      <c r="Q27" s="313" t="s">
        <v>338</v>
      </c>
      <c r="R27" s="365" t="s">
        <v>320</v>
      </c>
      <c r="S27" s="359" t="s">
        <v>325</v>
      </c>
      <c r="T27" s="366" t="s">
        <v>366</v>
      </c>
      <c r="U27" s="355" t="s">
        <v>408</v>
      </c>
      <c r="V27" s="369" t="s">
        <v>409</v>
      </c>
      <c r="W27" s="537"/>
      <c r="X27" s="535">
        <f t="shared" si="1"/>
        <v>0</v>
      </c>
      <c r="Y27" s="521"/>
      <c r="Z27" s="523"/>
      <c r="AA27" s="523"/>
      <c r="AB27" s="333"/>
      <c r="AC27" s="258"/>
      <c r="AD27" s="258"/>
      <c r="AE27" s="258"/>
      <c r="AF27" s="258"/>
      <c r="AG27" s="258"/>
      <c r="AH27" s="258"/>
      <c r="AI27" s="258"/>
      <c r="AJ27" s="258"/>
      <c r="AK27" s="258"/>
      <c r="AL27" s="258"/>
      <c r="AM27" s="258"/>
      <c r="AN27" s="258"/>
      <c r="AO27" s="258"/>
      <c r="AP27" s="258"/>
      <c r="AQ27" s="258"/>
      <c r="AR27" s="258"/>
      <c r="AS27" s="258"/>
      <c r="AT27" s="258"/>
      <c r="AU27" s="258"/>
      <c r="AV27" s="258"/>
      <c r="AW27" s="258"/>
      <c r="AX27" s="258"/>
      <c r="AY27" s="258"/>
      <c r="AZ27" s="258"/>
      <c r="BA27" s="258"/>
      <c r="BB27" s="258"/>
      <c r="BC27" s="258"/>
      <c r="BD27" s="258"/>
      <c r="BE27" s="258"/>
      <c r="BF27" s="258"/>
      <c r="BG27" s="258"/>
      <c r="BH27" s="258"/>
      <c r="BI27" s="258"/>
      <c r="BJ27" s="258"/>
      <c r="BK27" s="258"/>
      <c r="BL27" s="258"/>
      <c r="BM27" s="258"/>
      <c r="BN27" s="258"/>
      <c r="BO27" s="258"/>
      <c r="BP27" s="258"/>
      <c r="BQ27" s="258"/>
      <c r="BR27" s="258"/>
      <c r="BS27" s="258"/>
      <c r="BT27" s="258"/>
      <c r="BU27" s="258"/>
      <c r="BV27" s="258"/>
      <c r="BW27" s="258"/>
      <c r="BX27" s="258"/>
      <c r="BY27" s="258"/>
      <c r="BZ27" s="258"/>
      <c r="CA27" s="258"/>
      <c r="CB27" s="258"/>
      <c r="CC27" s="258"/>
      <c r="CD27" s="258"/>
      <c r="CE27" s="258"/>
      <c r="CF27" s="258"/>
      <c r="CG27" s="258"/>
      <c r="CH27" s="258"/>
      <c r="CI27" s="258"/>
      <c r="CJ27" s="258"/>
      <c r="CK27" s="258"/>
      <c r="CL27" s="258"/>
      <c r="CM27" s="258"/>
      <c r="CN27" s="258"/>
      <c r="CO27" s="258"/>
      <c r="CP27" s="258"/>
      <c r="CQ27" s="258"/>
      <c r="CR27" s="258"/>
      <c r="CS27" s="258"/>
      <c r="CT27" s="258"/>
      <c r="CU27" s="258"/>
      <c r="CV27" s="258"/>
      <c r="CW27" s="258"/>
      <c r="CX27" s="258"/>
      <c r="CY27" s="258"/>
      <c r="CZ27" s="258"/>
      <c r="DA27" s="258"/>
      <c r="DB27" s="258"/>
      <c r="DC27" s="258"/>
      <c r="DD27" s="258"/>
      <c r="DE27" s="258"/>
      <c r="DF27" s="258"/>
      <c r="DG27" s="258"/>
      <c r="DH27" s="258"/>
      <c r="DI27" s="258"/>
      <c r="DJ27" s="258"/>
      <c r="DK27" s="258"/>
      <c r="DL27" s="258"/>
      <c r="DM27" s="258"/>
      <c r="DN27" s="258"/>
      <c r="DO27" s="258"/>
      <c r="DP27" s="258"/>
      <c r="DQ27" s="258"/>
      <c r="DR27" s="258"/>
      <c r="DS27" s="258"/>
      <c r="DT27" s="258"/>
      <c r="DU27" s="258"/>
      <c r="DV27" s="258"/>
      <c r="DW27" s="258"/>
      <c r="DX27" s="258"/>
      <c r="DY27" s="258"/>
      <c r="DZ27" s="258"/>
      <c r="EA27" s="258"/>
      <c r="EB27" s="258"/>
    </row>
    <row r="28" spans="1:132" s="261" customFormat="1" ht="108" customHeight="1">
      <c r="A28" s="378">
        <v>7</v>
      </c>
      <c r="B28" s="379" t="s">
        <v>307</v>
      </c>
      <c r="C28" s="368">
        <v>18855706</v>
      </c>
      <c r="D28" s="368">
        <f>C28*0.85</f>
        <v>16027350.1</v>
      </c>
      <c r="E28" s="370" t="s">
        <v>12</v>
      </c>
      <c r="F28" s="370" t="s">
        <v>213</v>
      </c>
      <c r="G28" s="370" t="s">
        <v>302</v>
      </c>
      <c r="H28" s="370" t="s">
        <v>12</v>
      </c>
      <c r="I28" s="370" t="s">
        <v>12</v>
      </c>
      <c r="J28" s="370" t="s">
        <v>12</v>
      </c>
      <c r="K28" s="370" t="s">
        <v>12</v>
      </c>
      <c r="L28" s="370" t="s">
        <v>12</v>
      </c>
      <c r="M28" s="370" t="s">
        <v>12</v>
      </c>
      <c r="N28" s="370" t="s">
        <v>12</v>
      </c>
      <c r="O28" s="370" t="s">
        <v>12</v>
      </c>
      <c r="P28" s="371" t="s">
        <v>336</v>
      </c>
      <c r="Q28" s="313" t="s">
        <v>337</v>
      </c>
      <c r="R28" s="365" t="s">
        <v>320</v>
      </c>
      <c r="S28" s="359" t="s">
        <v>325</v>
      </c>
      <c r="T28" s="366" t="s">
        <v>367</v>
      </c>
      <c r="U28" s="366" t="s">
        <v>410</v>
      </c>
      <c r="V28" s="361" t="s">
        <v>411</v>
      </c>
      <c r="W28" s="368">
        <v>18855706</v>
      </c>
      <c r="X28" s="368">
        <f>W28*0.85</f>
        <v>16027350.1</v>
      </c>
      <c r="Y28" s="373">
        <v>1</v>
      </c>
      <c r="Z28" s="319">
        <f>51455731.3001/AA8</f>
        <v>10455294.381814487</v>
      </c>
      <c r="AA28" s="319">
        <f>43737371.6001/AA8</f>
        <v>8887000.2235294133</v>
      </c>
      <c r="AB28" s="333"/>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8"/>
      <c r="BC28" s="258"/>
      <c r="BD28" s="258"/>
      <c r="BE28" s="258"/>
      <c r="BF28" s="258"/>
      <c r="BG28" s="258"/>
      <c r="BH28" s="258"/>
      <c r="BI28" s="258"/>
      <c r="BJ28" s="258"/>
      <c r="BK28" s="258"/>
      <c r="BL28" s="258"/>
      <c r="BM28" s="258"/>
      <c r="BN28" s="258"/>
      <c r="BO28" s="258"/>
      <c r="BP28" s="258"/>
      <c r="BQ28" s="258"/>
      <c r="BR28" s="258"/>
      <c r="BS28" s="258"/>
      <c r="BT28" s="258"/>
      <c r="BU28" s="258"/>
      <c r="BV28" s="258"/>
      <c r="BW28" s="258"/>
      <c r="BX28" s="258"/>
      <c r="BY28" s="258"/>
      <c r="BZ28" s="258"/>
      <c r="CA28" s="258"/>
      <c r="CB28" s="258"/>
      <c r="CC28" s="258"/>
      <c r="CD28" s="258"/>
      <c r="CE28" s="258"/>
      <c r="CF28" s="258"/>
      <c r="CG28" s="258"/>
      <c r="CH28" s="258"/>
      <c r="CI28" s="258"/>
      <c r="CJ28" s="258"/>
      <c r="CK28" s="258"/>
      <c r="CL28" s="258"/>
      <c r="CM28" s="258"/>
      <c r="CN28" s="258"/>
      <c r="CO28" s="258"/>
      <c r="CP28" s="258"/>
      <c r="CQ28" s="258"/>
      <c r="CR28" s="258"/>
      <c r="CS28" s="258"/>
      <c r="CT28" s="258"/>
      <c r="CU28" s="258"/>
      <c r="CV28" s="258"/>
      <c r="CW28" s="258"/>
      <c r="CX28" s="258"/>
      <c r="CY28" s="258"/>
      <c r="CZ28" s="258"/>
      <c r="DA28" s="258"/>
      <c r="DB28" s="258"/>
      <c r="DC28" s="258"/>
      <c r="DD28" s="258"/>
      <c r="DE28" s="258"/>
      <c r="DF28" s="258"/>
      <c r="DG28" s="258"/>
      <c r="DH28" s="258"/>
      <c r="DI28" s="258"/>
      <c r="DJ28" s="258"/>
      <c r="DK28" s="258"/>
      <c r="DL28" s="258"/>
      <c r="DM28" s="258"/>
      <c r="DN28" s="258"/>
      <c r="DO28" s="258"/>
      <c r="DP28" s="258"/>
      <c r="DQ28" s="258"/>
      <c r="DR28" s="258"/>
      <c r="DS28" s="258"/>
      <c r="DT28" s="258"/>
      <c r="DU28" s="258"/>
      <c r="DV28" s="258"/>
      <c r="DW28" s="258"/>
      <c r="DX28" s="258"/>
      <c r="DY28" s="258"/>
      <c r="DZ28" s="258"/>
      <c r="EA28" s="258"/>
      <c r="EB28" s="258"/>
    </row>
    <row r="29" spans="1:132" s="263" customFormat="1" ht="23.25" customHeight="1">
      <c r="A29" s="546" t="s">
        <v>18</v>
      </c>
      <c r="B29" s="547"/>
      <c r="C29" s="347">
        <f>C30+C32</f>
        <v>2991110336</v>
      </c>
      <c r="D29" s="347">
        <f>D30+D32</f>
        <v>2542443784.8499999</v>
      </c>
      <c r="E29" s="349"/>
      <c r="F29" s="349"/>
      <c r="G29" s="349"/>
      <c r="H29" s="349"/>
      <c r="I29" s="349"/>
      <c r="J29" s="349"/>
      <c r="K29" s="349"/>
      <c r="L29" s="349"/>
      <c r="M29" s="349"/>
      <c r="N29" s="348"/>
      <c r="O29" s="348"/>
      <c r="P29" s="349"/>
      <c r="Q29" s="349"/>
      <c r="R29" s="349"/>
      <c r="S29" s="349"/>
      <c r="T29" s="349"/>
      <c r="U29" s="349"/>
      <c r="V29" s="349"/>
      <c r="W29" s="347">
        <f>W30+W32</f>
        <v>2991110336</v>
      </c>
      <c r="X29" s="347">
        <f>X30+X32</f>
        <v>2542443785.5999999</v>
      </c>
      <c r="Y29" s="346">
        <f>Y30+Y32</f>
        <v>126</v>
      </c>
      <c r="Z29" s="350">
        <f>Z32+Z30</f>
        <v>6248477513.741745</v>
      </c>
      <c r="AA29" s="350">
        <f>AA32+AA30</f>
        <v>5311205886.6804895</v>
      </c>
      <c r="AB29" s="333"/>
      <c r="AC29" s="258"/>
      <c r="AD29" s="258"/>
      <c r="AE29" s="258"/>
      <c r="AF29" s="258"/>
      <c r="AG29" s="258"/>
      <c r="AH29" s="258"/>
      <c r="AI29" s="258"/>
      <c r="AJ29" s="258"/>
      <c r="AK29" s="258"/>
      <c r="AL29" s="258"/>
      <c r="AM29" s="258"/>
      <c r="AN29" s="258"/>
      <c r="AO29" s="258"/>
      <c r="AP29" s="258"/>
      <c r="AQ29" s="258"/>
      <c r="AR29" s="258"/>
      <c r="AS29" s="258"/>
      <c r="AT29" s="258"/>
      <c r="AU29" s="258"/>
      <c r="AV29" s="258"/>
      <c r="AW29" s="258"/>
      <c r="AX29" s="258"/>
      <c r="AY29" s="258"/>
      <c r="AZ29" s="258"/>
      <c r="BA29" s="258"/>
      <c r="BB29" s="258"/>
      <c r="BC29" s="258"/>
      <c r="BD29" s="258"/>
      <c r="BE29" s="258"/>
      <c r="BF29" s="258"/>
      <c r="BG29" s="258"/>
      <c r="BH29" s="258"/>
      <c r="BI29" s="258"/>
      <c r="BJ29" s="258"/>
      <c r="BK29" s="258"/>
      <c r="BL29" s="258"/>
      <c r="BM29" s="258"/>
      <c r="BN29" s="258"/>
      <c r="BO29" s="258"/>
      <c r="BP29" s="258"/>
      <c r="BQ29" s="258"/>
      <c r="BR29" s="258"/>
      <c r="BS29" s="258"/>
      <c r="BT29" s="258"/>
      <c r="BU29" s="258"/>
      <c r="BV29" s="258"/>
      <c r="BW29" s="258"/>
      <c r="BX29" s="258"/>
      <c r="BY29" s="258"/>
      <c r="BZ29" s="258"/>
      <c r="CA29" s="258"/>
      <c r="CB29" s="258"/>
      <c r="CC29" s="258"/>
      <c r="CD29" s="258"/>
      <c r="CE29" s="258"/>
      <c r="CF29" s="258"/>
      <c r="CG29" s="258"/>
      <c r="CH29" s="258"/>
      <c r="CI29" s="258"/>
      <c r="CJ29" s="258"/>
      <c r="CK29" s="258"/>
      <c r="CL29" s="258"/>
      <c r="CM29" s="258"/>
      <c r="CN29" s="258"/>
      <c r="CO29" s="258"/>
      <c r="CP29" s="258"/>
      <c r="CQ29" s="258"/>
      <c r="CR29" s="258"/>
      <c r="CS29" s="258"/>
      <c r="CT29" s="258"/>
      <c r="CU29" s="258"/>
      <c r="CV29" s="258"/>
      <c r="CW29" s="258"/>
      <c r="CX29" s="258"/>
      <c r="CY29" s="258"/>
      <c r="CZ29" s="258"/>
      <c r="DA29" s="258"/>
      <c r="DB29" s="258"/>
      <c r="DC29" s="258"/>
      <c r="DD29" s="258"/>
      <c r="DE29" s="258"/>
      <c r="DF29" s="258"/>
      <c r="DG29" s="258"/>
      <c r="DH29" s="258"/>
      <c r="DI29" s="258"/>
      <c r="DJ29" s="258"/>
      <c r="DK29" s="258"/>
      <c r="DL29" s="258"/>
      <c r="DM29" s="258"/>
      <c r="DN29" s="258"/>
      <c r="DO29" s="258"/>
      <c r="DP29" s="258"/>
      <c r="DQ29" s="258"/>
      <c r="DR29" s="258"/>
      <c r="DS29" s="258"/>
      <c r="DT29" s="258"/>
      <c r="DU29" s="258"/>
      <c r="DV29" s="258"/>
      <c r="DW29" s="258"/>
      <c r="DX29" s="258"/>
      <c r="DY29" s="258"/>
      <c r="DZ29" s="258"/>
      <c r="EA29" s="258"/>
      <c r="EB29" s="258"/>
    </row>
    <row r="30" spans="1:132" ht="167.25" customHeight="1">
      <c r="A30" s="548">
        <v>9</v>
      </c>
      <c r="B30" s="550" t="s">
        <v>327</v>
      </c>
      <c r="C30" s="530">
        <v>374316255</v>
      </c>
      <c r="D30" s="530">
        <v>318168816</v>
      </c>
      <c r="E30" s="550" t="s">
        <v>12</v>
      </c>
      <c r="F30" s="550" t="s">
        <v>213</v>
      </c>
      <c r="G30" s="550" t="s">
        <v>321</v>
      </c>
      <c r="H30" s="380" t="s">
        <v>12</v>
      </c>
      <c r="I30" s="380" t="s">
        <v>12</v>
      </c>
      <c r="J30" s="380" t="s">
        <v>12</v>
      </c>
      <c r="K30" s="380" t="s">
        <v>12</v>
      </c>
      <c r="L30" s="380" t="s">
        <v>12</v>
      </c>
      <c r="M30" s="380" t="s">
        <v>12</v>
      </c>
      <c r="N30" s="380" t="s">
        <v>12</v>
      </c>
      <c r="O30" s="380" t="s">
        <v>12</v>
      </c>
      <c r="P30" s="371" t="s">
        <v>346</v>
      </c>
      <c r="Q30" s="371" t="s">
        <v>349</v>
      </c>
      <c r="R30" s="381" t="s">
        <v>328</v>
      </c>
      <c r="S30" s="366" t="s">
        <v>326</v>
      </c>
      <c r="T30" s="366"/>
      <c r="U30" s="367"/>
      <c r="V30" s="367"/>
      <c r="W30" s="530">
        <v>374316255</v>
      </c>
      <c r="X30" s="530">
        <f t="shared" ref="X30:X31" si="2">W30*0.85</f>
        <v>318168816.75</v>
      </c>
      <c r="Y30" s="520">
        <v>22</v>
      </c>
      <c r="Z30" s="522">
        <f>1401112941.73/AA8</f>
        <v>284692256.77740526</v>
      </c>
      <c r="AA30" s="522">
        <f>1190946000.47053/AA8</f>
        <v>241988418.26080057</v>
      </c>
      <c r="AB30" s="333"/>
    </row>
    <row r="31" spans="1:132" ht="167.25" customHeight="1">
      <c r="A31" s="549"/>
      <c r="B31" s="552"/>
      <c r="C31" s="531"/>
      <c r="D31" s="531">
        <f t="shared" ref="D31" si="3">C31*0.85</f>
        <v>0</v>
      </c>
      <c r="E31" s="552"/>
      <c r="F31" s="552"/>
      <c r="G31" s="552"/>
      <c r="H31" s="380"/>
      <c r="I31" s="380"/>
      <c r="J31" s="380"/>
      <c r="K31" s="380"/>
      <c r="L31" s="380"/>
      <c r="M31" s="380"/>
      <c r="N31" s="380"/>
      <c r="O31" s="380"/>
      <c r="P31" s="371" t="s">
        <v>492</v>
      </c>
      <c r="Q31" s="359" t="s">
        <v>472</v>
      </c>
      <c r="R31" s="359" t="s">
        <v>471</v>
      </c>
      <c r="S31" s="359" t="s">
        <v>325</v>
      </c>
      <c r="T31" s="366" t="s">
        <v>368</v>
      </c>
      <c r="U31" s="355"/>
      <c r="V31" s="355"/>
      <c r="W31" s="531"/>
      <c r="X31" s="531">
        <f t="shared" si="2"/>
        <v>0</v>
      </c>
      <c r="Y31" s="521"/>
      <c r="Z31" s="523">
        <f t="shared" ref="Z31:AA31" si="4">51455731.3001/AA11</f>
        <v>4.105867575131217E-3</v>
      </c>
      <c r="AA31" s="523" t="e">
        <f t="shared" si="4"/>
        <v>#DIV/0!</v>
      </c>
      <c r="AB31" s="333"/>
    </row>
    <row r="32" spans="1:132" ht="207" customHeight="1">
      <c r="A32" s="378">
        <v>10</v>
      </c>
      <c r="B32" s="382" t="s">
        <v>308</v>
      </c>
      <c r="C32" s="383">
        <v>2616794081</v>
      </c>
      <c r="D32" s="383">
        <f>C32*0.85</f>
        <v>2224274968.8499999</v>
      </c>
      <c r="E32" s="380" t="s">
        <v>12</v>
      </c>
      <c r="F32" s="380" t="s">
        <v>213</v>
      </c>
      <c r="G32" s="380" t="s">
        <v>347</v>
      </c>
      <c r="H32" s="380" t="s">
        <v>12</v>
      </c>
      <c r="I32" s="380" t="s">
        <v>12</v>
      </c>
      <c r="J32" s="380" t="s">
        <v>12</v>
      </c>
      <c r="K32" s="380" t="s">
        <v>12</v>
      </c>
      <c r="L32" s="380" t="s">
        <v>12</v>
      </c>
      <c r="M32" s="380" t="s">
        <v>12</v>
      </c>
      <c r="N32" s="380" t="s">
        <v>12</v>
      </c>
      <c r="O32" s="380" t="s">
        <v>12</v>
      </c>
      <c r="P32" s="371" t="s">
        <v>482</v>
      </c>
      <c r="Q32" s="313" t="s">
        <v>329</v>
      </c>
      <c r="R32" s="365" t="s">
        <v>483</v>
      </c>
      <c r="S32" s="359" t="s">
        <v>325</v>
      </c>
      <c r="T32" s="361" t="s">
        <v>369</v>
      </c>
      <c r="U32" s="384" t="s">
        <v>412</v>
      </c>
      <c r="V32" s="361" t="s">
        <v>413</v>
      </c>
      <c r="W32" s="383">
        <v>2616794081</v>
      </c>
      <c r="X32" s="383">
        <f>W32*0.85</f>
        <v>2224274968.8499999</v>
      </c>
      <c r="Y32" s="373">
        <v>104</v>
      </c>
      <c r="Z32" s="432">
        <f>29350769142.15/AA8</f>
        <v>5963785256.9643402</v>
      </c>
      <c r="AA32" s="432">
        <f>24948153770.8275/AA8</f>
        <v>5069217468.4196892</v>
      </c>
      <c r="AB32" s="333"/>
    </row>
    <row r="33" spans="1:132" s="263" customFormat="1" ht="28.5" customHeight="1">
      <c r="A33" s="546" t="s">
        <v>19</v>
      </c>
      <c r="B33" s="547"/>
      <c r="C33" s="347">
        <f>C34+C36+C37+C38</f>
        <v>297346683</v>
      </c>
      <c r="D33" s="347">
        <f>D34+D36+D37+D38</f>
        <v>252744681</v>
      </c>
      <c r="E33" s="348"/>
      <c r="F33" s="349"/>
      <c r="G33" s="348"/>
      <c r="H33" s="348"/>
      <c r="I33" s="348"/>
      <c r="J33" s="348"/>
      <c r="K33" s="348"/>
      <c r="L33" s="348"/>
      <c r="M33" s="348"/>
      <c r="N33" s="348"/>
      <c r="O33" s="348"/>
      <c r="P33" s="349"/>
      <c r="Q33" s="348"/>
      <c r="R33" s="348"/>
      <c r="S33" s="348"/>
      <c r="T33" s="348"/>
      <c r="U33" s="348"/>
      <c r="V33" s="348"/>
      <c r="W33" s="347">
        <f>W34+W36+W37+W38</f>
        <v>297346683</v>
      </c>
      <c r="X33" s="347">
        <f>X34+X36+X37+X38</f>
        <v>252744681</v>
      </c>
      <c r="Y33" s="385">
        <f>+Y34+Y36+Y37+Y38+Y39</f>
        <v>188</v>
      </c>
      <c r="Z33" s="386">
        <f>+Z34+Z36+Z37+Z38+Z39</f>
        <v>544689204.30762982</v>
      </c>
      <c r="AA33" s="386">
        <f>+AB34+AA36+AA37+AA38+AA39</f>
        <v>41395525.632124349</v>
      </c>
      <c r="AB33" s="333"/>
      <c r="AC33" s="258"/>
      <c r="AD33" s="258"/>
      <c r="AE33" s="269"/>
      <c r="AF33" s="269"/>
      <c r="AG33" s="258"/>
      <c r="AH33" s="258"/>
      <c r="AI33" s="258"/>
      <c r="AJ33" s="258"/>
      <c r="AK33" s="258"/>
      <c r="AL33" s="258"/>
      <c r="AM33" s="258"/>
      <c r="AN33" s="258"/>
      <c r="AO33" s="258"/>
      <c r="AP33" s="258"/>
      <c r="AQ33" s="258"/>
      <c r="AR33" s="258"/>
      <c r="AS33" s="258"/>
      <c r="AT33" s="258"/>
      <c r="AU33" s="258"/>
      <c r="AV33" s="258"/>
      <c r="AW33" s="258"/>
      <c r="AX33" s="258"/>
      <c r="AY33" s="258"/>
      <c r="AZ33" s="258"/>
      <c r="BA33" s="258"/>
      <c r="BB33" s="258"/>
      <c r="BC33" s="258"/>
      <c r="BD33" s="258"/>
      <c r="BE33" s="258"/>
      <c r="BF33" s="258"/>
      <c r="BG33" s="258"/>
      <c r="BH33" s="258"/>
      <c r="BI33" s="258"/>
      <c r="BJ33" s="258"/>
      <c r="BK33" s="258"/>
      <c r="BL33" s="258"/>
      <c r="BM33" s="258"/>
      <c r="BN33" s="258"/>
      <c r="BO33" s="258"/>
      <c r="BP33" s="258"/>
      <c r="BQ33" s="258"/>
      <c r="BR33" s="258"/>
      <c r="BS33" s="258"/>
      <c r="BT33" s="258"/>
      <c r="BU33" s="258"/>
      <c r="BV33" s="258"/>
      <c r="BW33" s="258"/>
      <c r="BX33" s="258"/>
      <c r="BY33" s="258"/>
      <c r="BZ33" s="258"/>
      <c r="CA33" s="258"/>
      <c r="CB33" s="258"/>
      <c r="CC33" s="258"/>
      <c r="CD33" s="258"/>
      <c r="CE33" s="258"/>
      <c r="CF33" s="258"/>
      <c r="CG33" s="258"/>
      <c r="CH33" s="258"/>
      <c r="CI33" s="258"/>
      <c r="CJ33" s="258"/>
      <c r="CK33" s="258"/>
      <c r="CL33" s="258"/>
      <c r="CM33" s="258"/>
      <c r="CN33" s="258"/>
      <c r="CO33" s="258"/>
      <c r="CP33" s="258"/>
      <c r="CQ33" s="258"/>
      <c r="CR33" s="258"/>
      <c r="CS33" s="258"/>
      <c r="CT33" s="258"/>
      <c r="CU33" s="258"/>
      <c r="CV33" s="258"/>
      <c r="CW33" s="258"/>
      <c r="CX33" s="258"/>
      <c r="CY33" s="258"/>
      <c r="CZ33" s="258"/>
      <c r="DA33" s="258"/>
      <c r="DB33" s="258"/>
      <c r="DC33" s="258"/>
      <c r="DD33" s="258"/>
      <c r="DE33" s="258"/>
      <c r="DF33" s="258"/>
      <c r="DG33" s="258"/>
      <c r="DH33" s="258"/>
      <c r="DI33" s="258"/>
      <c r="DJ33" s="258"/>
      <c r="DK33" s="258"/>
      <c r="DL33" s="258"/>
      <c r="DM33" s="258"/>
      <c r="DN33" s="258"/>
      <c r="DO33" s="258"/>
      <c r="DP33" s="258"/>
      <c r="DQ33" s="258"/>
      <c r="DR33" s="258"/>
      <c r="DS33" s="258"/>
      <c r="DT33" s="258"/>
      <c r="DU33" s="258"/>
      <c r="DV33" s="258"/>
      <c r="DW33" s="258"/>
      <c r="DX33" s="258"/>
      <c r="DY33" s="258"/>
      <c r="DZ33" s="258"/>
      <c r="EA33" s="258"/>
      <c r="EB33" s="258"/>
    </row>
    <row r="34" spans="1:132" ht="344.25" customHeight="1">
      <c r="A34" s="548">
        <v>11</v>
      </c>
      <c r="B34" s="550" t="s">
        <v>350</v>
      </c>
      <c r="C34" s="528">
        <v>253116395</v>
      </c>
      <c r="D34" s="528">
        <v>215148936</v>
      </c>
      <c r="E34" s="550" t="s">
        <v>12</v>
      </c>
      <c r="F34" s="550" t="s">
        <v>322</v>
      </c>
      <c r="G34" s="387" t="s">
        <v>454</v>
      </c>
      <c r="H34" s="380" t="s">
        <v>12</v>
      </c>
      <c r="I34" s="380" t="s">
        <v>12</v>
      </c>
      <c r="J34" s="380" t="s">
        <v>12</v>
      </c>
      <c r="K34" s="380" t="s">
        <v>12</v>
      </c>
      <c r="L34" s="380" t="s">
        <v>12</v>
      </c>
      <c r="M34" s="380" t="s">
        <v>12</v>
      </c>
      <c r="N34" s="380" t="s">
        <v>12</v>
      </c>
      <c r="O34" s="380" t="s">
        <v>12</v>
      </c>
      <c r="P34" s="371" t="s">
        <v>493</v>
      </c>
      <c r="Q34" s="315" t="s">
        <v>456</v>
      </c>
      <c r="R34" s="315" t="s">
        <v>455</v>
      </c>
      <c r="S34" s="359" t="s">
        <v>325</v>
      </c>
      <c r="T34" s="366"/>
      <c r="U34" s="367"/>
      <c r="V34" s="367"/>
      <c r="W34" s="528">
        <v>253116395</v>
      </c>
      <c r="X34" s="528">
        <v>215148936</v>
      </c>
      <c r="Y34" s="325">
        <v>185</v>
      </c>
      <c r="Z34" s="436">
        <f>2441007825.59/AA8</f>
        <v>495988585.91689527</v>
      </c>
      <c r="AA34" s="437">
        <f>2074856651.7515/AA8</f>
        <v>421590298.02936095</v>
      </c>
      <c r="AB34" s="333"/>
      <c r="AD34" s="314"/>
      <c r="AE34" s="269"/>
      <c r="AF34" s="269"/>
    </row>
    <row r="35" spans="1:132" ht="285.39999999999998" customHeight="1">
      <c r="A35" s="567"/>
      <c r="B35" s="551"/>
      <c r="C35" s="529"/>
      <c r="D35" s="529">
        <f t="shared" ref="D35" si="5">C35*0.85</f>
        <v>0</v>
      </c>
      <c r="E35" s="552"/>
      <c r="F35" s="552"/>
      <c r="G35" s="380" t="s">
        <v>494</v>
      </c>
      <c r="H35" s="380"/>
      <c r="I35" s="380"/>
      <c r="J35" s="380"/>
      <c r="K35" s="380"/>
      <c r="L35" s="380"/>
      <c r="M35" s="380"/>
      <c r="N35" s="380"/>
      <c r="O35" s="380"/>
      <c r="P35" s="371" t="s">
        <v>348</v>
      </c>
      <c r="Q35" s="313" t="s">
        <v>495</v>
      </c>
      <c r="R35" s="317" t="s">
        <v>446</v>
      </c>
      <c r="S35" s="359" t="s">
        <v>325</v>
      </c>
      <c r="T35" s="355" t="s">
        <v>370</v>
      </c>
      <c r="U35" s="355"/>
      <c r="V35" s="355"/>
      <c r="W35" s="529"/>
      <c r="X35" s="529">
        <f t="shared" ref="X35" si="6">W35*0.85</f>
        <v>0</v>
      </c>
      <c r="Y35" s="373">
        <v>0</v>
      </c>
      <c r="Z35" s="438">
        <v>0</v>
      </c>
      <c r="AA35" s="438">
        <v>0</v>
      </c>
      <c r="AB35" s="333"/>
      <c r="AE35" s="269"/>
      <c r="AF35" s="269"/>
    </row>
    <row r="36" spans="1:132" ht="168.75" customHeight="1">
      <c r="A36" s="549"/>
      <c r="B36" s="552"/>
      <c r="C36" s="388"/>
      <c r="D36" s="388"/>
      <c r="E36" s="380" t="s">
        <v>12</v>
      </c>
      <c r="F36" s="380" t="s">
        <v>9</v>
      </c>
      <c r="G36" s="380" t="s">
        <v>439</v>
      </c>
      <c r="H36" s="380" t="s">
        <v>12</v>
      </c>
      <c r="I36" s="380" t="s">
        <v>12</v>
      </c>
      <c r="J36" s="380" t="s">
        <v>12</v>
      </c>
      <c r="K36" s="380" t="s">
        <v>12</v>
      </c>
      <c r="L36" s="380" t="s">
        <v>12</v>
      </c>
      <c r="M36" s="380" t="s">
        <v>12</v>
      </c>
      <c r="N36" s="380" t="s">
        <v>12</v>
      </c>
      <c r="O36" s="380" t="s">
        <v>12</v>
      </c>
      <c r="P36" s="371" t="s">
        <v>352</v>
      </c>
      <c r="Q36" s="313" t="s">
        <v>496</v>
      </c>
      <c r="R36" s="327" t="s">
        <v>486</v>
      </c>
      <c r="S36" s="359" t="s">
        <v>325</v>
      </c>
      <c r="T36" s="366" t="s">
        <v>371</v>
      </c>
      <c r="U36" s="366" t="s">
        <v>168</v>
      </c>
      <c r="V36" s="389" t="s">
        <v>414</v>
      </c>
      <c r="W36" s="388"/>
      <c r="X36" s="388"/>
      <c r="Y36" s="373">
        <v>0</v>
      </c>
      <c r="Z36" s="439">
        <v>0</v>
      </c>
      <c r="AA36" s="439">
        <v>0</v>
      </c>
      <c r="AB36" s="333"/>
      <c r="AE36" s="269"/>
      <c r="AF36" s="269"/>
    </row>
    <row r="37" spans="1:132" ht="112.7" customHeight="1">
      <c r="A37" s="378">
        <v>12</v>
      </c>
      <c r="B37" s="382" t="s">
        <v>309</v>
      </c>
      <c r="C37" s="388">
        <v>15131414</v>
      </c>
      <c r="D37" s="388">
        <v>12861702</v>
      </c>
      <c r="E37" s="380" t="s">
        <v>12</v>
      </c>
      <c r="F37" s="380" t="s">
        <v>6</v>
      </c>
      <c r="G37" s="380" t="s">
        <v>297</v>
      </c>
      <c r="H37" s="380" t="s">
        <v>12</v>
      </c>
      <c r="I37" s="380" t="s">
        <v>12</v>
      </c>
      <c r="J37" s="380" t="s">
        <v>12</v>
      </c>
      <c r="K37" s="380" t="s">
        <v>12</v>
      </c>
      <c r="L37" s="380" t="s">
        <v>12</v>
      </c>
      <c r="M37" s="380" t="s">
        <v>12</v>
      </c>
      <c r="N37" s="380" t="s">
        <v>12</v>
      </c>
      <c r="O37" s="380" t="s">
        <v>12</v>
      </c>
      <c r="P37" s="371" t="s">
        <v>351</v>
      </c>
      <c r="Q37" s="313" t="s">
        <v>356</v>
      </c>
      <c r="R37" s="377" t="s">
        <v>304</v>
      </c>
      <c r="S37" s="359" t="s">
        <v>325</v>
      </c>
      <c r="T37" s="366" t="s">
        <v>372</v>
      </c>
      <c r="U37" s="390" t="s">
        <v>415</v>
      </c>
      <c r="V37" s="361" t="s">
        <v>416</v>
      </c>
      <c r="W37" s="388">
        <v>15131414</v>
      </c>
      <c r="X37" s="388">
        <v>12861702</v>
      </c>
      <c r="Y37" s="326">
        <v>1</v>
      </c>
      <c r="Z37" s="439">
        <f>130681454.95/AA8</f>
        <v>26553175.85085848</v>
      </c>
      <c r="AA37" s="439">
        <f>111079236.7075/AA8</f>
        <v>22570199.473229706</v>
      </c>
      <c r="AB37" s="333"/>
      <c r="AE37" s="269"/>
      <c r="AF37" s="269"/>
    </row>
    <row r="38" spans="1:132" ht="62.45" customHeight="1">
      <c r="A38" s="548">
        <v>13</v>
      </c>
      <c r="B38" s="550" t="s">
        <v>355</v>
      </c>
      <c r="C38" s="538">
        <v>29098874</v>
      </c>
      <c r="D38" s="539">
        <v>24734043</v>
      </c>
      <c r="E38" s="380" t="s">
        <v>12</v>
      </c>
      <c r="F38" s="380" t="s">
        <v>9</v>
      </c>
      <c r="G38" s="380" t="s">
        <v>34</v>
      </c>
      <c r="H38" s="380"/>
      <c r="I38" s="380"/>
      <c r="J38" s="380"/>
      <c r="K38" s="380"/>
      <c r="L38" s="380"/>
      <c r="M38" s="380"/>
      <c r="N38" s="380"/>
      <c r="O38" s="380"/>
      <c r="P38" s="371" t="s">
        <v>374</v>
      </c>
      <c r="Q38" s="313" t="s">
        <v>353</v>
      </c>
      <c r="R38" s="313" t="s">
        <v>304</v>
      </c>
      <c r="S38" s="313" t="s">
        <v>325</v>
      </c>
      <c r="T38" s="391" t="s">
        <v>373</v>
      </c>
      <c r="U38" s="371" t="s">
        <v>417</v>
      </c>
      <c r="V38" s="391" t="s">
        <v>418</v>
      </c>
      <c r="W38" s="538">
        <v>29098874</v>
      </c>
      <c r="X38" s="539">
        <v>24734043</v>
      </c>
      <c r="Y38" s="373">
        <v>0</v>
      </c>
      <c r="Z38" s="319">
        <v>0</v>
      </c>
      <c r="AA38" s="319">
        <v>0</v>
      </c>
      <c r="AB38" s="333"/>
      <c r="AE38" s="269"/>
      <c r="AF38" s="269"/>
    </row>
    <row r="39" spans="1:132" ht="90" customHeight="1">
      <c r="A39" s="549"/>
      <c r="B39" s="552"/>
      <c r="C39" s="538"/>
      <c r="D39" s="540">
        <f t="shared" ref="D39" si="7">C39*0.85</f>
        <v>0</v>
      </c>
      <c r="E39" s="380" t="s">
        <v>12</v>
      </c>
      <c r="F39" s="380" t="s">
        <v>293</v>
      </c>
      <c r="G39" s="380" t="s">
        <v>294</v>
      </c>
      <c r="H39" s="380" t="s">
        <v>12</v>
      </c>
      <c r="I39" s="380" t="s">
        <v>12</v>
      </c>
      <c r="J39" s="380" t="s">
        <v>12</v>
      </c>
      <c r="K39" s="380" t="s">
        <v>12</v>
      </c>
      <c r="L39" s="380" t="s">
        <v>12</v>
      </c>
      <c r="M39" s="380" t="s">
        <v>12</v>
      </c>
      <c r="N39" s="380" t="s">
        <v>12</v>
      </c>
      <c r="O39" s="380" t="s">
        <v>12</v>
      </c>
      <c r="P39" s="371" t="s">
        <v>375</v>
      </c>
      <c r="Q39" s="371" t="s">
        <v>354</v>
      </c>
      <c r="R39" s="392" t="s">
        <v>323</v>
      </c>
      <c r="S39" s="366" t="s">
        <v>326</v>
      </c>
      <c r="T39" s="366"/>
      <c r="U39" s="366"/>
      <c r="V39" s="366"/>
      <c r="W39" s="538"/>
      <c r="X39" s="540">
        <f t="shared" ref="X39" si="8">W39*0.85</f>
        <v>0</v>
      </c>
      <c r="Y39" s="373">
        <v>2</v>
      </c>
      <c r="Z39" s="439">
        <f>108998638.46/AA8</f>
        <v>22147442.539876051</v>
      </c>
      <c r="AA39" s="439">
        <f>92648842.691/AA8</f>
        <v>18825326.158894647</v>
      </c>
      <c r="AB39" s="333"/>
      <c r="AE39" s="271"/>
      <c r="AF39" s="271"/>
    </row>
    <row r="40" spans="1:132" s="260" customFormat="1" ht="23.25" customHeight="1">
      <c r="A40" s="546" t="s">
        <v>298</v>
      </c>
      <c r="B40" s="547"/>
      <c r="C40" s="347">
        <f>C41+C44</f>
        <v>574468085.17647052</v>
      </c>
      <c r="D40" s="347">
        <f>D41+D44</f>
        <v>488297872.39999998</v>
      </c>
      <c r="E40" s="348"/>
      <c r="F40" s="348"/>
      <c r="G40" s="348"/>
      <c r="H40" s="348"/>
      <c r="I40" s="348"/>
      <c r="J40" s="348"/>
      <c r="K40" s="348"/>
      <c r="L40" s="348"/>
      <c r="M40" s="348"/>
      <c r="N40" s="348"/>
      <c r="O40" s="348"/>
      <c r="P40" s="349"/>
      <c r="Q40" s="348"/>
      <c r="R40" s="348"/>
      <c r="S40" s="348"/>
      <c r="T40" s="348"/>
      <c r="U40" s="348"/>
      <c r="V40" s="348"/>
      <c r="W40" s="347">
        <f>W41+W44</f>
        <v>574468085.17647052</v>
      </c>
      <c r="X40" s="347">
        <f>X41+X44</f>
        <v>488297872.39999998</v>
      </c>
      <c r="Y40" s="393">
        <f>Y41+Y42+Y43+Y44+Y46</f>
        <v>18</v>
      </c>
      <c r="Z40" s="386">
        <f>+Z41+Z42+Z43+Z44+Z46</f>
        <v>1714806428.1743369</v>
      </c>
      <c r="AA40" s="386">
        <f>+AA41+AA42+AA43+AA44+AA46</f>
        <v>1457585463.9666767</v>
      </c>
      <c r="AB40" s="333"/>
      <c r="AC40" s="258"/>
      <c r="AD40" s="258"/>
      <c r="AE40" s="258"/>
      <c r="AF40" s="258"/>
      <c r="AG40" s="258"/>
      <c r="AH40" s="258"/>
      <c r="AI40" s="258"/>
      <c r="AJ40" s="258"/>
      <c r="AK40" s="258"/>
      <c r="AL40" s="258"/>
      <c r="AM40" s="258"/>
      <c r="AN40" s="258"/>
      <c r="AO40" s="258"/>
      <c r="AP40" s="258"/>
      <c r="AQ40" s="258"/>
      <c r="AR40" s="258"/>
      <c r="AS40" s="258"/>
      <c r="AT40" s="258"/>
      <c r="AU40" s="258"/>
      <c r="AV40" s="258"/>
      <c r="AW40" s="258"/>
      <c r="AX40" s="258"/>
      <c r="AY40" s="258"/>
      <c r="AZ40" s="258"/>
      <c r="BA40" s="258"/>
      <c r="BB40" s="258"/>
      <c r="BC40" s="258"/>
      <c r="BD40" s="258"/>
      <c r="BE40" s="258"/>
      <c r="BF40" s="258"/>
      <c r="BG40" s="258"/>
      <c r="BH40" s="258"/>
      <c r="BI40" s="258"/>
      <c r="BJ40" s="258"/>
      <c r="BK40" s="258"/>
      <c r="BL40" s="258"/>
      <c r="BM40" s="258"/>
      <c r="BN40" s="258"/>
      <c r="BO40" s="258"/>
      <c r="BP40" s="258"/>
      <c r="BQ40" s="258"/>
      <c r="BR40" s="258"/>
      <c r="BS40" s="258"/>
      <c r="BT40" s="258"/>
      <c r="BU40" s="258"/>
      <c r="BV40" s="258"/>
      <c r="BW40" s="258"/>
      <c r="BX40" s="258"/>
      <c r="BY40" s="258"/>
      <c r="BZ40" s="258"/>
      <c r="CA40" s="258"/>
      <c r="CB40" s="258"/>
      <c r="CC40" s="258"/>
      <c r="CD40" s="258"/>
      <c r="CE40" s="258"/>
      <c r="CF40" s="258"/>
      <c r="CG40" s="258"/>
      <c r="CH40" s="258"/>
      <c r="CI40" s="258"/>
      <c r="CJ40" s="258"/>
      <c r="CK40" s="258"/>
      <c r="CL40" s="258"/>
      <c r="CM40" s="258"/>
      <c r="CN40" s="258"/>
      <c r="CO40" s="258"/>
      <c r="CP40" s="258"/>
      <c r="CQ40" s="258"/>
      <c r="CR40" s="258"/>
      <c r="CS40" s="258"/>
      <c r="CT40" s="258"/>
      <c r="CU40" s="258"/>
      <c r="CV40" s="258"/>
      <c r="CW40" s="258"/>
      <c r="CX40" s="258"/>
      <c r="CY40" s="258"/>
      <c r="CZ40" s="258"/>
      <c r="DA40" s="258"/>
      <c r="DB40" s="258"/>
      <c r="DC40" s="258"/>
      <c r="DD40" s="258"/>
      <c r="DE40" s="258"/>
      <c r="DF40" s="258"/>
      <c r="DG40" s="258"/>
      <c r="DH40" s="258"/>
      <c r="DI40" s="258"/>
      <c r="DJ40" s="258"/>
      <c r="DK40" s="258"/>
      <c r="DL40" s="258"/>
      <c r="DM40" s="258"/>
      <c r="DN40" s="258"/>
      <c r="DO40" s="258"/>
      <c r="DP40" s="258"/>
      <c r="DQ40" s="258"/>
      <c r="DR40" s="258"/>
      <c r="DS40" s="258"/>
      <c r="DT40" s="258"/>
      <c r="DU40" s="258"/>
      <c r="DV40" s="258"/>
      <c r="DW40" s="258"/>
      <c r="DX40" s="258"/>
      <c r="DY40" s="258"/>
      <c r="DZ40" s="258"/>
      <c r="EA40" s="258"/>
      <c r="EB40" s="258"/>
    </row>
    <row r="41" spans="1:132" ht="91.5" customHeight="1">
      <c r="A41" s="548">
        <v>15</v>
      </c>
      <c r="B41" s="550" t="s">
        <v>310</v>
      </c>
      <c r="C41" s="539">
        <v>428035044</v>
      </c>
      <c r="D41" s="539">
        <f t="shared" ref="D41" si="9">C41*0.85</f>
        <v>363829787.39999998</v>
      </c>
      <c r="E41" s="380" t="s">
        <v>12</v>
      </c>
      <c r="F41" s="380" t="s">
        <v>213</v>
      </c>
      <c r="G41" s="380" t="s">
        <v>295</v>
      </c>
      <c r="H41" s="380" t="s">
        <v>12</v>
      </c>
      <c r="I41" s="380" t="s">
        <v>12</v>
      </c>
      <c r="J41" s="380" t="s">
        <v>12</v>
      </c>
      <c r="K41" s="380" t="s">
        <v>12</v>
      </c>
      <c r="L41" s="380" t="s">
        <v>12</v>
      </c>
      <c r="M41" s="380" t="s">
        <v>12</v>
      </c>
      <c r="N41" s="380" t="s">
        <v>12</v>
      </c>
      <c r="O41" s="380" t="s">
        <v>12</v>
      </c>
      <c r="P41" s="371" t="s">
        <v>442</v>
      </c>
      <c r="Q41" s="371" t="s">
        <v>444</v>
      </c>
      <c r="R41" s="372" t="s">
        <v>330</v>
      </c>
      <c r="S41" s="366" t="s">
        <v>326</v>
      </c>
      <c r="T41" s="366"/>
      <c r="U41" s="366"/>
      <c r="V41" s="366"/>
      <c r="W41" s="539">
        <v>428035044</v>
      </c>
      <c r="X41" s="539">
        <f t="shared" ref="X41" si="10">W41*0.85</f>
        <v>363829787.39999998</v>
      </c>
      <c r="Y41" s="394">
        <v>6</v>
      </c>
      <c r="Z41" s="439">
        <f>3323245158.93/AA8</f>
        <v>675250464.07192922</v>
      </c>
      <c r="AA41" s="439">
        <f>2824758385.13/AA8</f>
        <v>573962894.46916592</v>
      </c>
      <c r="AB41" s="333"/>
    </row>
    <row r="42" spans="1:132" ht="129.19999999999999" customHeight="1">
      <c r="A42" s="567"/>
      <c r="B42" s="551"/>
      <c r="C42" s="541"/>
      <c r="D42" s="541"/>
      <c r="E42" s="550" t="s">
        <v>12</v>
      </c>
      <c r="F42" s="550" t="s">
        <v>213</v>
      </c>
      <c r="G42" s="550" t="s">
        <v>441</v>
      </c>
      <c r="H42" s="380"/>
      <c r="I42" s="380"/>
      <c r="J42" s="380"/>
      <c r="K42" s="380"/>
      <c r="L42" s="380"/>
      <c r="M42" s="380"/>
      <c r="N42" s="380"/>
      <c r="O42" s="380"/>
      <c r="P42" s="553" t="s">
        <v>443</v>
      </c>
      <c r="Q42" s="559" t="s">
        <v>358</v>
      </c>
      <c r="R42" s="561" t="s">
        <v>304</v>
      </c>
      <c r="S42" s="563" t="s">
        <v>450</v>
      </c>
      <c r="T42" s="542" t="s">
        <v>376</v>
      </c>
      <c r="U42" s="610" t="s">
        <v>463</v>
      </c>
      <c r="V42" s="542" t="s">
        <v>421</v>
      </c>
      <c r="W42" s="541"/>
      <c r="X42" s="541"/>
      <c r="Y42" s="631">
        <v>0</v>
      </c>
      <c r="Z42" s="439">
        <v>0</v>
      </c>
      <c r="AA42" s="439">
        <v>0</v>
      </c>
      <c r="AB42" s="333"/>
      <c r="AE42" s="305"/>
      <c r="AF42" s="305"/>
      <c r="AG42" s="309"/>
      <c r="AH42" s="307"/>
      <c r="AI42" s="307"/>
      <c r="AJ42" s="308"/>
      <c r="AK42" s="307"/>
      <c r="AL42" s="307"/>
      <c r="AM42" s="274"/>
    </row>
    <row r="43" spans="1:132" ht="112.7" customHeight="1">
      <c r="A43" s="549"/>
      <c r="B43" s="552"/>
      <c r="C43" s="540"/>
      <c r="D43" s="540"/>
      <c r="E43" s="552"/>
      <c r="F43" s="552"/>
      <c r="G43" s="552"/>
      <c r="H43" s="380" t="s">
        <v>12</v>
      </c>
      <c r="I43" s="380" t="s">
        <v>12</v>
      </c>
      <c r="J43" s="380" t="s">
        <v>12</v>
      </c>
      <c r="K43" s="380" t="s">
        <v>12</v>
      </c>
      <c r="L43" s="380" t="s">
        <v>12</v>
      </c>
      <c r="M43" s="380" t="s">
        <v>12</v>
      </c>
      <c r="N43" s="380" t="s">
        <v>12</v>
      </c>
      <c r="O43" s="380" t="s">
        <v>12</v>
      </c>
      <c r="P43" s="558"/>
      <c r="Q43" s="560"/>
      <c r="R43" s="562"/>
      <c r="S43" s="564"/>
      <c r="T43" s="543"/>
      <c r="U43" s="593"/>
      <c r="V43" s="543"/>
      <c r="W43" s="540"/>
      <c r="X43" s="540"/>
      <c r="Y43" s="631"/>
      <c r="Z43" s="439"/>
      <c r="AA43" s="439"/>
      <c r="AB43" s="333"/>
    </row>
    <row r="44" spans="1:132" ht="75.75" customHeight="1">
      <c r="A44" s="548">
        <v>16</v>
      </c>
      <c r="B44" s="382" t="s">
        <v>311</v>
      </c>
      <c r="C44" s="532">
        <v>146433041.17647058</v>
      </c>
      <c r="D44" s="532">
        <v>124468085</v>
      </c>
      <c r="E44" s="380" t="s">
        <v>12</v>
      </c>
      <c r="F44" s="380" t="s">
        <v>213</v>
      </c>
      <c r="G44" s="395" t="s">
        <v>11</v>
      </c>
      <c r="H44" s="380" t="s">
        <v>12</v>
      </c>
      <c r="I44" s="380" t="s">
        <v>12</v>
      </c>
      <c r="J44" s="380" t="s">
        <v>12</v>
      </c>
      <c r="K44" s="380" t="s">
        <v>12</v>
      </c>
      <c r="L44" s="380" t="s">
        <v>12</v>
      </c>
      <c r="M44" s="380" t="s">
        <v>12</v>
      </c>
      <c r="N44" s="380" t="s">
        <v>12</v>
      </c>
      <c r="O44" s="380" t="s">
        <v>12</v>
      </c>
      <c r="P44" s="371" t="s">
        <v>383</v>
      </c>
      <c r="Q44" s="371" t="s">
        <v>384</v>
      </c>
      <c r="R44" s="372" t="s">
        <v>381</v>
      </c>
      <c r="S44" s="366" t="s">
        <v>326</v>
      </c>
      <c r="T44" s="366"/>
      <c r="U44" s="366"/>
      <c r="V44" s="366"/>
      <c r="W44" s="532">
        <v>146433041.17647058</v>
      </c>
      <c r="X44" s="532">
        <v>124468085</v>
      </c>
      <c r="Y44" s="373">
        <v>12</v>
      </c>
      <c r="Z44" s="319">
        <f>5116174677.33/AA8</f>
        <v>1039555964.1024078</v>
      </c>
      <c r="AA44" s="319">
        <f>4348748475.782/AA8</f>
        <v>883622569.49751079</v>
      </c>
      <c r="AB44" s="333"/>
    </row>
    <row r="45" spans="1:132" ht="158.25" customHeight="1">
      <c r="A45" s="567"/>
      <c r="B45" s="382" t="s">
        <v>378</v>
      </c>
      <c r="C45" s="533"/>
      <c r="D45" s="533"/>
      <c r="E45" s="370" t="s">
        <v>12</v>
      </c>
      <c r="F45" s="370" t="s">
        <v>213</v>
      </c>
      <c r="G45" s="396" t="s">
        <v>11</v>
      </c>
      <c r="H45" s="370"/>
      <c r="I45" s="370"/>
      <c r="J45" s="370"/>
      <c r="K45" s="370"/>
      <c r="L45" s="370"/>
      <c r="M45" s="370"/>
      <c r="N45" s="370"/>
      <c r="O45" s="370"/>
      <c r="P45" s="371" t="s">
        <v>380</v>
      </c>
      <c r="Q45" s="397" t="s">
        <v>377</v>
      </c>
      <c r="R45" s="398" t="s">
        <v>449</v>
      </c>
      <c r="S45" s="399" t="s">
        <v>450</v>
      </c>
      <c r="T45" s="366" t="s">
        <v>379</v>
      </c>
      <c r="U45" s="366" t="s">
        <v>422</v>
      </c>
      <c r="V45" s="361" t="s">
        <v>423</v>
      </c>
      <c r="W45" s="533"/>
      <c r="X45" s="533"/>
      <c r="Y45" s="394"/>
      <c r="Z45" s="439"/>
      <c r="AA45" s="439"/>
      <c r="AB45" s="333"/>
    </row>
    <row r="46" spans="1:132" ht="133.5" customHeight="1">
      <c r="A46" s="549"/>
      <c r="B46" s="382" t="s">
        <v>312</v>
      </c>
      <c r="C46" s="400">
        <v>0</v>
      </c>
      <c r="D46" s="400">
        <v>0</v>
      </c>
      <c r="E46" s="370" t="s">
        <v>12</v>
      </c>
      <c r="F46" s="370" t="s">
        <v>213</v>
      </c>
      <c r="G46" s="396" t="s">
        <v>11</v>
      </c>
      <c r="H46" s="370" t="s">
        <v>12</v>
      </c>
      <c r="I46" s="370" t="s">
        <v>12</v>
      </c>
      <c r="J46" s="370" t="s">
        <v>12</v>
      </c>
      <c r="K46" s="370" t="s">
        <v>12</v>
      </c>
      <c r="L46" s="370" t="s">
        <v>12</v>
      </c>
      <c r="M46" s="370" t="s">
        <v>12</v>
      </c>
      <c r="N46" s="370" t="s">
        <v>12</v>
      </c>
      <c r="O46" s="370" t="s">
        <v>12</v>
      </c>
      <c r="P46" s="371" t="s">
        <v>382</v>
      </c>
      <c r="Q46" s="313" t="s">
        <v>447</v>
      </c>
      <c r="R46" s="313" t="s">
        <v>445</v>
      </c>
      <c r="S46" s="401" t="s">
        <v>325</v>
      </c>
      <c r="T46" s="366"/>
      <c r="U46" s="366" t="s">
        <v>422</v>
      </c>
      <c r="V46" s="366"/>
      <c r="W46" s="351"/>
      <c r="X46" s="351">
        <v>0</v>
      </c>
      <c r="Y46" s="373">
        <v>0</v>
      </c>
      <c r="Z46" s="319">
        <v>0</v>
      </c>
      <c r="AA46" s="319">
        <v>0</v>
      </c>
      <c r="AB46" s="333"/>
    </row>
    <row r="47" spans="1:132" s="260" customFormat="1" ht="25.5" customHeight="1">
      <c r="A47" s="546" t="s">
        <v>20</v>
      </c>
      <c r="B47" s="547"/>
      <c r="C47" s="347">
        <f>C48+C49+C50+C51+C52</f>
        <v>124105883</v>
      </c>
      <c r="D47" s="347">
        <f>D48+D49+D50+D51+D52</f>
        <v>105490000</v>
      </c>
      <c r="E47" s="348"/>
      <c r="F47" s="348"/>
      <c r="G47" s="348"/>
      <c r="H47" s="348"/>
      <c r="I47" s="348"/>
      <c r="J47" s="348"/>
      <c r="K47" s="348"/>
      <c r="L47" s="348"/>
      <c r="M47" s="348"/>
      <c r="N47" s="348"/>
      <c r="O47" s="348"/>
      <c r="P47" s="349"/>
      <c r="Q47" s="348"/>
      <c r="R47" s="348"/>
      <c r="S47" s="348"/>
      <c r="T47" s="348"/>
      <c r="U47" s="348"/>
      <c r="V47" s="348"/>
      <c r="W47" s="347">
        <f>W48+W49+W50+W51+W52</f>
        <v>124105883</v>
      </c>
      <c r="X47" s="347">
        <f>X48+X49+X50+X51+X52</f>
        <v>105490000</v>
      </c>
      <c r="Y47" s="393">
        <f>Y48+Y49+Y51+Y50+Y52</f>
        <v>160</v>
      </c>
      <c r="Z47" s="402">
        <f>Z48+Z49+Z50+Z51+Z52</f>
        <v>450641037.63080364</v>
      </c>
      <c r="AA47" s="402">
        <f>AA48+AA49+AA50+AA51+AA52</f>
        <v>383044882.00619727</v>
      </c>
      <c r="AB47" s="333"/>
      <c r="AC47" s="258"/>
      <c r="AD47" s="258"/>
      <c r="AE47" s="258"/>
      <c r="AF47" s="258"/>
      <c r="AG47" s="258"/>
      <c r="AH47" s="258"/>
      <c r="AI47" s="258"/>
      <c r="AJ47" s="258"/>
      <c r="AK47" s="258"/>
      <c r="AL47" s="258"/>
      <c r="AM47" s="258"/>
      <c r="AN47" s="258"/>
      <c r="AO47" s="258"/>
      <c r="AP47" s="258"/>
      <c r="AQ47" s="258"/>
      <c r="AR47" s="258"/>
      <c r="AS47" s="258"/>
      <c r="AT47" s="258"/>
      <c r="AU47" s="258"/>
      <c r="AV47" s="258"/>
      <c r="AW47" s="258"/>
      <c r="AX47" s="258"/>
      <c r="AY47" s="258"/>
      <c r="AZ47" s="258"/>
      <c r="BA47" s="258"/>
      <c r="BB47" s="258"/>
      <c r="BC47" s="258"/>
      <c r="BD47" s="258"/>
      <c r="BE47" s="258"/>
      <c r="BF47" s="258"/>
      <c r="BG47" s="258"/>
      <c r="BH47" s="258"/>
      <c r="BI47" s="258"/>
      <c r="BJ47" s="258"/>
      <c r="BK47" s="258"/>
      <c r="BL47" s="258"/>
      <c r="BM47" s="258"/>
      <c r="BN47" s="258"/>
      <c r="BO47" s="258"/>
      <c r="BP47" s="258"/>
      <c r="BQ47" s="258"/>
      <c r="BR47" s="258"/>
      <c r="BS47" s="258"/>
      <c r="BT47" s="258"/>
      <c r="BU47" s="258"/>
      <c r="BV47" s="258"/>
      <c r="BW47" s="258"/>
      <c r="BX47" s="258"/>
      <c r="BY47" s="258"/>
      <c r="BZ47" s="258"/>
      <c r="CA47" s="258"/>
      <c r="CB47" s="258"/>
      <c r="CC47" s="258"/>
      <c r="CD47" s="258"/>
      <c r="CE47" s="258"/>
      <c r="CF47" s="258"/>
      <c r="CG47" s="258"/>
      <c r="CH47" s="258"/>
      <c r="CI47" s="258"/>
      <c r="CJ47" s="258"/>
      <c r="CK47" s="258"/>
      <c r="CL47" s="258"/>
      <c r="CM47" s="258"/>
      <c r="CN47" s="258"/>
      <c r="CO47" s="258"/>
      <c r="CP47" s="258"/>
      <c r="CQ47" s="258"/>
      <c r="CR47" s="258"/>
      <c r="CS47" s="258"/>
      <c r="CT47" s="258"/>
      <c r="CU47" s="258"/>
      <c r="CV47" s="258"/>
      <c r="CW47" s="258"/>
      <c r="CX47" s="258"/>
      <c r="CY47" s="258"/>
      <c r="CZ47" s="258"/>
      <c r="DA47" s="258"/>
      <c r="DB47" s="258"/>
      <c r="DC47" s="258"/>
      <c r="DD47" s="258"/>
      <c r="DE47" s="258"/>
      <c r="DF47" s="258"/>
      <c r="DG47" s="258"/>
      <c r="DH47" s="258"/>
      <c r="DI47" s="258"/>
      <c r="DJ47" s="258"/>
      <c r="DK47" s="258"/>
      <c r="DL47" s="258"/>
      <c r="DM47" s="258"/>
      <c r="DN47" s="258"/>
      <c r="DO47" s="258"/>
      <c r="DP47" s="258"/>
      <c r="DQ47" s="258"/>
      <c r="DR47" s="258"/>
      <c r="DS47" s="258"/>
      <c r="DT47" s="258"/>
      <c r="DU47" s="258"/>
      <c r="DV47" s="258"/>
      <c r="DW47" s="258"/>
      <c r="DX47" s="258"/>
      <c r="DY47" s="258"/>
      <c r="DZ47" s="258"/>
      <c r="EA47" s="258"/>
      <c r="EB47" s="258"/>
    </row>
    <row r="48" spans="1:132" ht="162.75" customHeight="1">
      <c r="A48" s="548">
        <v>17</v>
      </c>
      <c r="B48" s="382" t="s">
        <v>313</v>
      </c>
      <c r="C48" s="383">
        <v>27626683</v>
      </c>
      <c r="D48" s="383">
        <v>23482680</v>
      </c>
      <c r="E48" s="380" t="s">
        <v>22</v>
      </c>
      <c r="F48" s="380" t="s">
        <v>9</v>
      </c>
      <c r="G48" s="380" t="s">
        <v>23</v>
      </c>
      <c r="H48" s="380" t="s">
        <v>12</v>
      </c>
      <c r="I48" s="380" t="s">
        <v>12</v>
      </c>
      <c r="J48" s="380" t="s">
        <v>12</v>
      </c>
      <c r="K48" s="380" t="s">
        <v>12</v>
      </c>
      <c r="L48" s="380" t="s">
        <v>12</v>
      </c>
      <c r="M48" s="380" t="s">
        <v>12</v>
      </c>
      <c r="N48" s="380" t="s">
        <v>12</v>
      </c>
      <c r="O48" s="380" t="s">
        <v>12</v>
      </c>
      <c r="P48" s="397" t="s">
        <v>453</v>
      </c>
      <c r="Q48" s="397" t="s">
        <v>387</v>
      </c>
      <c r="R48" s="398" t="s">
        <v>452</v>
      </c>
      <c r="S48" s="399" t="s">
        <v>450</v>
      </c>
      <c r="T48" s="361" t="s">
        <v>385</v>
      </c>
      <c r="U48" s="361" t="s">
        <v>425</v>
      </c>
      <c r="V48" s="361" t="s">
        <v>424</v>
      </c>
      <c r="W48" s="383">
        <v>27626683</v>
      </c>
      <c r="X48" s="383">
        <v>23482680</v>
      </c>
      <c r="Y48" s="373">
        <v>46</v>
      </c>
      <c r="Z48" s="319">
        <f>991672147.09/AA8</f>
        <v>201497947.18886518</v>
      </c>
      <c r="AA48" s="319">
        <f>842921325.1265/AA8</f>
        <v>171273255.13085443</v>
      </c>
      <c r="AB48" s="333"/>
    </row>
    <row r="49" spans="1:132" ht="153" customHeight="1">
      <c r="A49" s="549"/>
      <c r="B49" s="382" t="s">
        <v>35</v>
      </c>
      <c r="C49" s="383">
        <v>18373318</v>
      </c>
      <c r="D49" s="383">
        <v>15617320</v>
      </c>
      <c r="E49" s="380" t="s">
        <v>31</v>
      </c>
      <c r="F49" s="380" t="s">
        <v>9</v>
      </c>
      <c r="G49" s="380" t="s">
        <v>24</v>
      </c>
      <c r="H49" s="380" t="s">
        <v>12</v>
      </c>
      <c r="I49" s="380" t="s">
        <v>12</v>
      </c>
      <c r="J49" s="380" t="s">
        <v>12</v>
      </c>
      <c r="K49" s="380" t="s">
        <v>12</v>
      </c>
      <c r="L49" s="380" t="s">
        <v>12</v>
      </c>
      <c r="M49" s="380" t="s">
        <v>12</v>
      </c>
      <c r="N49" s="380" t="s">
        <v>12</v>
      </c>
      <c r="O49" s="380" t="s">
        <v>12</v>
      </c>
      <c r="P49" s="397" t="s">
        <v>497</v>
      </c>
      <c r="Q49" s="377" t="s">
        <v>388</v>
      </c>
      <c r="R49" s="403" t="s">
        <v>304</v>
      </c>
      <c r="S49" s="399" t="s">
        <v>450</v>
      </c>
      <c r="T49" s="366" t="s">
        <v>394</v>
      </c>
      <c r="U49" s="366" t="s">
        <v>426</v>
      </c>
      <c r="V49" s="361" t="s">
        <v>427</v>
      </c>
      <c r="W49" s="383">
        <v>18373318</v>
      </c>
      <c r="X49" s="383">
        <v>15617320</v>
      </c>
      <c r="Y49" s="394">
        <v>17</v>
      </c>
      <c r="Z49" s="319">
        <f>247853028.06/AA8</f>
        <v>50361277.671441637</v>
      </c>
      <c r="AA49" s="319">
        <f>210675073.8495/AA8</f>
        <v>42807086.020420603</v>
      </c>
      <c r="AB49" s="333"/>
    </row>
    <row r="50" spans="1:132" ht="140.25" customHeight="1">
      <c r="A50" s="378">
        <v>18</v>
      </c>
      <c r="B50" s="382" t="s">
        <v>314</v>
      </c>
      <c r="C50" s="388">
        <v>11752941</v>
      </c>
      <c r="D50" s="388">
        <v>9990000</v>
      </c>
      <c r="E50" s="380" t="s">
        <v>25</v>
      </c>
      <c r="F50" s="380" t="s">
        <v>9</v>
      </c>
      <c r="G50" s="380" t="s">
        <v>216</v>
      </c>
      <c r="H50" s="380" t="s">
        <v>12</v>
      </c>
      <c r="I50" s="380" t="s">
        <v>12</v>
      </c>
      <c r="J50" s="380" t="s">
        <v>12</v>
      </c>
      <c r="K50" s="380" t="s">
        <v>12</v>
      </c>
      <c r="L50" s="380" t="s">
        <v>12</v>
      </c>
      <c r="M50" s="380" t="s">
        <v>12</v>
      </c>
      <c r="N50" s="380" t="s">
        <v>12</v>
      </c>
      <c r="O50" s="380" t="s">
        <v>12</v>
      </c>
      <c r="P50" s="397" t="s">
        <v>498</v>
      </c>
      <c r="Q50" s="313" t="s">
        <v>389</v>
      </c>
      <c r="R50" s="403" t="s">
        <v>304</v>
      </c>
      <c r="S50" s="359" t="s">
        <v>450</v>
      </c>
      <c r="T50" s="366" t="s">
        <v>393</v>
      </c>
      <c r="U50" s="366" t="s">
        <v>428</v>
      </c>
      <c r="V50" s="361" t="s">
        <v>429</v>
      </c>
      <c r="W50" s="388">
        <v>11752941</v>
      </c>
      <c r="X50" s="388">
        <v>9990000</v>
      </c>
      <c r="Y50" s="430">
        <v>66</v>
      </c>
      <c r="Z50" s="319">
        <f>58433424.58/AA8</f>
        <v>11873092.467743574</v>
      </c>
      <c r="AA50" s="319">
        <f>49668410.893/AA8</f>
        <v>10092128.597582038</v>
      </c>
      <c r="AB50" s="333"/>
    </row>
    <row r="51" spans="1:132" ht="135" customHeight="1">
      <c r="A51" s="378">
        <v>19</v>
      </c>
      <c r="B51" s="382" t="s">
        <v>315</v>
      </c>
      <c r="C51" s="388">
        <v>38117647</v>
      </c>
      <c r="D51" s="388">
        <v>32400000</v>
      </c>
      <c r="E51" s="380" t="s">
        <v>31</v>
      </c>
      <c r="F51" s="380" t="s">
        <v>217</v>
      </c>
      <c r="G51" s="380" t="s">
        <v>303</v>
      </c>
      <c r="H51" s="380" t="s">
        <v>12</v>
      </c>
      <c r="I51" s="380" t="s">
        <v>12</v>
      </c>
      <c r="J51" s="380" t="s">
        <v>12</v>
      </c>
      <c r="K51" s="380" t="s">
        <v>12</v>
      </c>
      <c r="L51" s="380" t="s">
        <v>12</v>
      </c>
      <c r="M51" s="380" t="s">
        <v>12</v>
      </c>
      <c r="N51" s="380" t="s">
        <v>12</v>
      </c>
      <c r="O51" s="380" t="s">
        <v>12</v>
      </c>
      <c r="P51" s="397" t="s">
        <v>499</v>
      </c>
      <c r="Q51" s="313" t="s">
        <v>390</v>
      </c>
      <c r="R51" s="403" t="s">
        <v>304</v>
      </c>
      <c r="S51" s="359" t="s">
        <v>450</v>
      </c>
      <c r="T51" s="366" t="s">
        <v>395</v>
      </c>
      <c r="U51" s="366" t="s">
        <v>430</v>
      </c>
      <c r="V51" s="361" t="s">
        <v>431</v>
      </c>
      <c r="W51" s="388">
        <v>38117647</v>
      </c>
      <c r="X51" s="388">
        <v>32400000</v>
      </c>
      <c r="Y51" s="394">
        <v>16</v>
      </c>
      <c r="Z51" s="319">
        <f>696916876.39/AA8</f>
        <v>141606598.88042262</v>
      </c>
      <c r="AA51" s="319">
        <f>592379344.9315/AA8</f>
        <v>120365609.04835923</v>
      </c>
      <c r="AB51" s="333"/>
    </row>
    <row r="52" spans="1:132" ht="132.75" customHeight="1">
      <c r="A52" s="378">
        <v>20</v>
      </c>
      <c r="B52" s="382" t="s">
        <v>316</v>
      </c>
      <c r="C52" s="383">
        <v>28235294</v>
      </c>
      <c r="D52" s="383">
        <v>24000000</v>
      </c>
      <c r="E52" s="380" t="s">
        <v>26</v>
      </c>
      <c r="F52" s="380" t="s">
        <v>9</v>
      </c>
      <c r="G52" s="380" t="s">
        <v>27</v>
      </c>
      <c r="H52" s="380" t="s">
        <v>12</v>
      </c>
      <c r="I52" s="380" t="s">
        <v>12</v>
      </c>
      <c r="J52" s="380" t="s">
        <v>12</v>
      </c>
      <c r="K52" s="380" t="s">
        <v>12</v>
      </c>
      <c r="L52" s="380" t="s">
        <v>12</v>
      </c>
      <c r="M52" s="380" t="s">
        <v>12</v>
      </c>
      <c r="N52" s="380" t="s">
        <v>12</v>
      </c>
      <c r="O52" s="380" t="s">
        <v>12</v>
      </c>
      <c r="P52" s="397" t="s">
        <v>500</v>
      </c>
      <c r="Q52" s="313" t="s">
        <v>386</v>
      </c>
      <c r="R52" s="403" t="s">
        <v>304</v>
      </c>
      <c r="S52" s="359" t="s">
        <v>450</v>
      </c>
      <c r="T52" s="366" t="s">
        <v>396</v>
      </c>
      <c r="U52" s="366" t="s">
        <v>432</v>
      </c>
      <c r="V52" s="361" t="s">
        <v>433</v>
      </c>
      <c r="W52" s="383">
        <v>28235294</v>
      </c>
      <c r="X52" s="383">
        <v>24000000</v>
      </c>
      <c r="Y52" s="394">
        <v>15</v>
      </c>
      <c r="Z52" s="319">
        <f>222954390.58/AA8</f>
        <v>45302121.422330596</v>
      </c>
      <c r="AA52" s="319">
        <f>189511231.993/AA8</f>
        <v>38506803.208981</v>
      </c>
      <c r="AB52" s="333"/>
    </row>
    <row r="53" spans="1:132" s="260" customFormat="1" ht="33.75" customHeight="1">
      <c r="A53" s="546" t="s">
        <v>21</v>
      </c>
      <c r="B53" s="547"/>
      <c r="C53" s="347">
        <f>C54+C55</f>
        <v>268956321</v>
      </c>
      <c r="D53" s="347">
        <f>D54+D55</f>
        <v>228612872</v>
      </c>
      <c r="E53" s="348"/>
      <c r="F53" s="348"/>
      <c r="G53" s="348"/>
      <c r="H53" s="348"/>
      <c r="I53" s="348"/>
      <c r="J53" s="348"/>
      <c r="K53" s="348"/>
      <c r="L53" s="348"/>
      <c r="M53" s="348"/>
      <c r="N53" s="348"/>
      <c r="O53" s="348"/>
      <c r="P53" s="349"/>
      <c r="Q53" s="348"/>
      <c r="R53" s="348"/>
      <c r="S53" s="348"/>
      <c r="T53" s="348"/>
      <c r="U53" s="348"/>
      <c r="V53" s="348"/>
      <c r="W53" s="347">
        <f>W54+W55</f>
        <v>268956322</v>
      </c>
      <c r="X53" s="347">
        <f>X54+X55</f>
        <v>228612872</v>
      </c>
      <c r="Y53" s="393">
        <f>Y54+Y55</f>
        <v>14</v>
      </c>
      <c r="Z53" s="393">
        <f>Z54+Z55</f>
        <v>460130928.22279793</v>
      </c>
      <c r="AA53" s="393">
        <f t="shared" ref="AA53" si="11">AA54+AA55</f>
        <v>391111288.98181444</v>
      </c>
      <c r="AB53" s="333"/>
      <c r="AC53" s="258"/>
      <c r="AD53" s="258"/>
      <c r="AE53" s="258"/>
      <c r="AF53" s="258"/>
      <c r="AG53" s="258"/>
      <c r="AH53" s="258"/>
      <c r="AI53" s="258"/>
      <c r="AJ53" s="258"/>
      <c r="AK53" s="258"/>
      <c r="AL53" s="258"/>
      <c r="AM53" s="258"/>
      <c r="AN53" s="258"/>
      <c r="AO53" s="258"/>
      <c r="AP53" s="258"/>
      <c r="AQ53" s="258"/>
      <c r="AR53" s="258"/>
      <c r="AS53" s="258"/>
      <c r="AT53" s="258"/>
      <c r="AU53" s="258"/>
      <c r="AV53" s="258"/>
      <c r="AW53" s="258"/>
      <c r="AX53" s="258"/>
      <c r="AY53" s="258"/>
      <c r="AZ53" s="258"/>
      <c r="BA53" s="258"/>
      <c r="BB53" s="258"/>
      <c r="BC53" s="258"/>
      <c r="BD53" s="258"/>
      <c r="BE53" s="258"/>
      <c r="BF53" s="258"/>
      <c r="BG53" s="258"/>
      <c r="BH53" s="258"/>
      <c r="BI53" s="258"/>
      <c r="BJ53" s="258"/>
      <c r="BK53" s="258"/>
      <c r="BL53" s="258"/>
      <c r="BM53" s="258"/>
      <c r="BN53" s="258"/>
      <c r="BO53" s="258"/>
      <c r="BP53" s="258"/>
      <c r="BQ53" s="258"/>
      <c r="BR53" s="258"/>
      <c r="BS53" s="258"/>
      <c r="BT53" s="258"/>
      <c r="BU53" s="258"/>
      <c r="BV53" s="258"/>
      <c r="BW53" s="258"/>
      <c r="BX53" s="258"/>
      <c r="BY53" s="258"/>
      <c r="BZ53" s="258"/>
      <c r="CA53" s="258"/>
      <c r="CB53" s="258"/>
      <c r="CC53" s="258"/>
      <c r="CD53" s="258"/>
      <c r="CE53" s="258"/>
      <c r="CF53" s="258"/>
      <c r="CG53" s="258"/>
      <c r="CH53" s="258"/>
      <c r="CI53" s="258"/>
      <c r="CJ53" s="258"/>
      <c r="CK53" s="258"/>
      <c r="CL53" s="258"/>
      <c r="CM53" s="258"/>
      <c r="CN53" s="258"/>
      <c r="CO53" s="258"/>
      <c r="CP53" s="258"/>
      <c r="CQ53" s="258"/>
      <c r="CR53" s="258"/>
      <c r="CS53" s="258"/>
      <c r="CT53" s="258"/>
      <c r="CU53" s="258"/>
      <c r="CV53" s="258"/>
      <c r="CW53" s="258"/>
      <c r="CX53" s="258"/>
      <c r="CY53" s="258"/>
      <c r="CZ53" s="258"/>
      <c r="DA53" s="258"/>
      <c r="DB53" s="258"/>
      <c r="DC53" s="258"/>
      <c r="DD53" s="258"/>
      <c r="DE53" s="258"/>
      <c r="DF53" s="258"/>
      <c r="DG53" s="258"/>
      <c r="DH53" s="258"/>
      <c r="DI53" s="258"/>
      <c r="DJ53" s="258"/>
      <c r="DK53" s="258"/>
      <c r="DL53" s="258"/>
      <c r="DM53" s="258"/>
      <c r="DN53" s="258"/>
      <c r="DO53" s="258"/>
      <c r="DP53" s="258"/>
      <c r="DQ53" s="258"/>
      <c r="DR53" s="258"/>
      <c r="DS53" s="258"/>
      <c r="DT53" s="258"/>
      <c r="DU53" s="258"/>
      <c r="DV53" s="258"/>
      <c r="DW53" s="258"/>
      <c r="DX53" s="258"/>
      <c r="DY53" s="258"/>
      <c r="DZ53" s="258"/>
      <c r="EA53" s="258"/>
      <c r="EB53" s="258"/>
    </row>
    <row r="54" spans="1:132" ht="267" customHeight="1">
      <c r="A54" s="378">
        <v>21</v>
      </c>
      <c r="B54" s="382" t="s">
        <v>317</v>
      </c>
      <c r="C54" s="388">
        <v>151309261</v>
      </c>
      <c r="D54" s="388">
        <v>128612872</v>
      </c>
      <c r="E54" s="380" t="s">
        <v>12</v>
      </c>
      <c r="F54" s="380" t="s">
        <v>217</v>
      </c>
      <c r="G54" s="380" t="s">
        <v>28</v>
      </c>
      <c r="H54" s="380" t="s">
        <v>12</v>
      </c>
      <c r="I54" s="380" t="s">
        <v>12</v>
      </c>
      <c r="J54" s="380" t="s">
        <v>12</v>
      </c>
      <c r="K54" s="380" t="s">
        <v>12</v>
      </c>
      <c r="L54" s="380" t="s">
        <v>12</v>
      </c>
      <c r="M54" s="380" t="s">
        <v>12</v>
      </c>
      <c r="N54" s="380" t="s">
        <v>12</v>
      </c>
      <c r="O54" s="380" t="s">
        <v>12</v>
      </c>
      <c r="P54" s="397" t="s">
        <v>470</v>
      </c>
      <c r="Q54" s="313" t="s">
        <v>474</v>
      </c>
      <c r="R54" s="317" t="s">
        <v>455</v>
      </c>
      <c r="S54" s="544" t="s">
        <v>325</v>
      </c>
      <c r="T54" s="404" t="s">
        <v>397</v>
      </c>
      <c r="U54" s="366" t="s">
        <v>435</v>
      </c>
      <c r="V54" s="389" t="s">
        <v>434</v>
      </c>
      <c r="W54" s="388">
        <v>151309262</v>
      </c>
      <c r="X54" s="388">
        <v>128612872</v>
      </c>
      <c r="Y54" s="394">
        <v>13</v>
      </c>
      <c r="Z54" s="319">
        <f>941095176.9885/AA8</f>
        <v>191221208.36909479</v>
      </c>
      <c r="AA54" s="319">
        <f>799930900.374/AA8</f>
        <v>162538027.10027429</v>
      </c>
      <c r="AB54" s="333"/>
    </row>
    <row r="55" spans="1:132" ht="286.7" customHeight="1">
      <c r="A55" s="378">
        <v>22</v>
      </c>
      <c r="B55" s="382" t="s">
        <v>318</v>
      </c>
      <c r="C55" s="383">
        <v>117647060</v>
      </c>
      <c r="D55" s="383">
        <v>100000000</v>
      </c>
      <c r="E55" s="380" t="s">
        <v>12</v>
      </c>
      <c r="F55" s="380" t="s">
        <v>217</v>
      </c>
      <c r="G55" s="380" t="s">
        <v>29</v>
      </c>
      <c r="H55" s="380" t="s">
        <v>12</v>
      </c>
      <c r="I55" s="380" t="s">
        <v>12</v>
      </c>
      <c r="J55" s="380" t="s">
        <v>12</v>
      </c>
      <c r="K55" s="380" t="s">
        <v>12</v>
      </c>
      <c r="L55" s="380" t="s">
        <v>12</v>
      </c>
      <c r="M55" s="380" t="s">
        <v>12</v>
      </c>
      <c r="N55" s="380" t="s">
        <v>12</v>
      </c>
      <c r="O55" s="380" t="s">
        <v>12</v>
      </c>
      <c r="P55" s="397" t="s">
        <v>392</v>
      </c>
      <c r="Q55" s="313" t="s">
        <v>391</v>
      </c>
      <c r="R55" s="328" t="s">
        <v>304</v>
      </c>
      <c r="S55" s="545"/>
      <c r="T55" s="404" t="s">
        <v>437</v>
      </c>
      <c r="U55" s="366" t="s">
        <v>436</v>
      </c>
      <c r="V55" s="366" t="s">
        <v>436</v>
      </c>
      <c r="W55" s="383">
        <v>117647060</v>
      </c>
      <c r="X55" s="383">
        <v>100000000</v>
      </c>
      <c r="Y55" s="373">
        <v>1</v>
      </c>
      <c r="Z55" s="319">
        <f>1323439186.26/AA8</f>
        <v>268909719.85370314</v>
      </c>
      <c r="AA55" s="319">
        <f>1124923308.35/AA8</f>
        <v>228573261.88154015</v>
      </c>
      <c r="AB55" s="333"/>
    </row>
    <row r="56" spans="1:132" s="260" customFormat="1" ht="24.75" customHeight="1">
      <c r="A56" s="546" t="s">
        <v>299</v>
      </c>
      <c r="B56" s="547"/>
      <c r="C56" s="347">
        <f>C57</f>
        <v>192876472</v>
      </c>
      <c r="D56" s="347">
        <f>D57</f>
        <v>163944999</v>
      </c>
      <c r="E56" s="405"/>
      <c r="F56" s="349"/>
      <c r="G56" s="405"/>
      <c r="H56" s="405"/>
      <c r="I56" s="405"/>
      <c r="J56" s="405"/>
      <c r="K56" s="405"/>
      <c r="L56" s="405"/>
      <c r="M56" s="405"/>
      <c r="N56" s="405"/>
      <c r="O56" s="405"/>
      <c r="P56" s="405"/>
      <c r="Q56" s="405"/>
      <c r="R56" s="405"/>
      <c r="S56" s="405"/>
      <c r="T56" s="405"/>
      <c r="U56" s="405"/>
      <c r="V56" s="405"/>
      <c r="W56" s="347">
        <f>SUM(W57:W58)</f>
        <v>192876471</v>
      </c>
      <c r="X56" s="347">
        <f>SUM(X57:X58)</f>
        <v>163944999</v>
      </c>
      <c r="Y56" s="406"/>
      <c r="Z56" s="386">
        <f>Z57+Z58</f>
        <v>2701145320.8737178</v>
      </c>
      <c r="AA56" s="386">
        <f>AA57+AA58</f>
        <v>2295973522.7471299</v>
      </c>
      <c r="AB56" s="333"/>
      <c r="AC56" s="258"/>
      <c r="AD56" s="258"/>
      <c r="AE56" s="258"/>
      <c r="AF56" s="258"/>
      <c r="AG56" s="258"/>
      <c r="AH56" s="258"/>
      <c r="AI56" s="258"/>
      <c r="AJ56" s="258"/>
      <c r="AK56" s="258"/>
      <c r="AL56" s="258"/>
      <c r="AM56" s="258"/>
      <c r="AN56" s="258"/>
      <c r="AO56" s="258"/>
      <c r="AP56" s="258"/>
      <c r="AQ56" s="258"/>
      <c r="AR56" s="258"/>
      <c r="AS56" s="258"/>
      <c r="AT56" s="258"/>
      <c r="AU56" s="258"/>
      <c r="AV56" s="258"/>
      <c r="AW56" s="258"/>
      <c r="AX56" s="258"/>
      <c r="AY56" s="258"/>
      <c r="AZ56" s="258"/>
      <c r="BA56" s="258"/>
      <c r="BB56" s="258"/>
      <c r="BC56" s="258"/>
      <c r="BD56" s="258"/>
      <c r="BE56" s="258"/>
      <c r="BF56" s="258"/>
      <c r="BG56" s="258"/>
      <c r="BH56" s="258"/>
      <c r="BI56" s="258"/>
      <c r="BJ56" s="258"/>
      <c r="BK56" s="258"/>
      <c r="BL56" s="258"/>
      <c r="BM56" s="258"/>
      <c r="BN56" s="258"/>
      <c r="BO56" s="258"/>
      <c r="BP56" s="258"/>
      <c r="BQ56" s="258"/>
      <c r="BR56" s="258"/>
      <c r="BS56" s="258"/>
      <c r="BT56" s="258"/>
      <c r="BU56" s="258"/>
      <c r="BV56" s="258"/>
      <c r="BW56" s="258"/>
      <c r="BX56" s="258"/>
      <c r="BY56" s="258"/>
      <c r="BZ56" s="258"/>
      <c r="CA56" s="258"/>
      <c r="CB56" s="258"/>
      <c r="CC56" s="258"/>
      <c r="CD56" s="258"/>
      <c r="CE56" s="258"/>
      <c r="CF56" s="258"/>
      <c r="CG56" s="258"/>
      <c r="CH56" s="258"/>
      <c r="CI56" s="258"/>
      <c r="CJ56" s="258"/>
      <c r="CK56" s="258"/>
      <c r="CL56" s="258"/>
      <c r="CM56" s="258"/>
      <c r="CN56" s="258"/>
      <c r="CO56" s="258"/>
      <c r="CP56" s="258"/>
      <c r="CQ56" s="258"/>
      <c r="CR56" s="258"/>
      <c r="CS56" s="258"/>
      <c r="CT56" s="258"/>
      <c r="CU56" s="258"/>
      <c r="CV56" s="258"/>
      <c r="CW56" s="258"/>
      <c r="CX56" s="258"/>
      <c r="CY56" s="258"/>
      <c r="CZ56" s="258"/>
      <c r="DA56" s="258"/>
      <c r="DB56" s="258"/>
      <c r="DC56" s="258"/>
      <c r="DD56" s="258"/>
      <c r="DE56" s="258"/>
      <c r="DF56" s="258"/>
      <c r="DG56" s="258"/>
      <c r="DH56" s="258"/>
      <c r="DI56" s="258"/>
      <c r="DJ56" s="258"/>
      <c r="DK56" s="258"/>
      <c r="DL56" s="258"/>
      <c r="DM56" s="258"/>
      <c r="DN56" s="258"/>
      <c r="DO56" s="258"/>
      <c r="DP56" s="258"/>
      <c r="DQ56" s="258"/>
      <c r="DR56" s="258"/>
      <c r="DS56" s="258"/>
      <c r="DT56" s="258"/>
      <c r="DU56" s="258"/>
      <c r="DV56" s="258"/>
      <c r="DW56" s="258"/>
      <c r="DX56" s="258"/>
      <c r="DY56" s="258"/>
      <c r="DZ56" s="258"/>
      <c r="EA56" s="258"/>
      <c r="EB56" s="258"/>
    </row>
    <row r="57" spans="1:132" ht="220.7" customHeight="1">
      <c r="A57" s="378">
        <v>23</v>
      </c>
      <c r="B57" s="550" t="s">
        <v>319</v>
      </c>
      <c r="C57" s="530">
        <v>192876472</v>
      </c>
      <c r="D57" s="530">
        <v>163944999</v>
      </c>
      <c r="E57" s="380" t="s">
        <v>30</v>
      </c>
      <c r="F57" s="380" t="s">
        <v>217</v>
      </c>
      <c r="G57" s="380" t="s">
        <v>501</v>
      </c>
      <c r="H57" s="380" t="s">
        <v>12</v>
      </c>
      <c r="I57" s="380" t="s">
        <v>12</v>
      </c>
      <c r="J57" s="380" t="s">
        <v>12</v>
      </c>
      <c r="K57" s="380" t="s">
        <v>12</v>
      </c>
      <c r="L57" s="380" t="s">
        <v>12</v>
      </c>
      <c r="M57" s="380" t="s">
        <v>12</v>
      </c>
      <c r="N57" s="380" t="s">
        <v>12</v>
      </c>
      <c r="O57" s="380" t="s">
        <v>12</v>
      </c>
      <c r="P57" s="397" t="s">
        <v>465</v>
      </c>
      <c r="Q57" s="313" t="s">
        <v>451</v>
      </c>
      <c r="R57" s="377" t="s">
        <v>448</v>
      </c>
      <c r="S57" s="407" t="s">
        <v>325</v>
      </c>
      <c r="T57" s="408"/>
      <c r="U57" s="408"/>
      <c r="V57" s="408"/>
      <c r="W57" s="383">
        <v>75236471</v>
      </c>
      <c r="X57" s="383">
        <v>63944999</v>
      </c>
      <c r="Y57" s="373">
        <v>1</v>
      </c>
      <c r="Z57" s="319">
        <f>152168390.01/AA8</f>
        <v>30919107.997561716</v>
      </c>
      <c r="AA57" s="319">
        <f>129343131.53/AA8</f>
        <v>26281241.80229605</v>
      </c>
      <c r="AB57" s="333"/>
    </row>
    <row r="58" spans="1:132" ht="220.7" customHeight="1">
      <c r="A58" s="409"/>
      <c r="B58" s="552"/>
      <c r="C58" s="531"/>
      <c r="D58" s="531"/>
      <c r="E58" s="387"/>
      <c r="F58" s="387"/>
      <c r="G58" s="387"/>
      <c r="H58" s="387"/>
      <c r="I58" s="387"/>
      <c r="J58" s="387"/>
      <c r="K58" s="387"/>
      <c r="L58" s="387"/>
      <c r="M58" s="387"/>
      <c r="N58" s="387"/>
      <c r="O58" s="387"/>
      <c r="P58" s="397"/>
      <c r="Q58" s="410" t="s">
        <v>468</v>
      </c>
      <c r="R58" s="411" t="s">
        <v>304</v>
      </c>
      <c r="S58" s="428" t="s">
        <v>478</v>
      </c>
      <c r="T58" s="412"/>
      <c r="U58" s="412"/>
      <c r="V58" s="412"/>
      <c r="W58" s="413">
        <v>117640000</v>
      </c>
      <c r="X58" s="413">
        <v>100000000</v>
      </c>
      <c r="Y58" s="394">
        <v>250</v>
      </c>
      <c r="Z58" s="319">
        <f>13141518306.67/AA8</f>
        <v>2670226212.8761559</v>
      </c>
      <c r="AA58" s="319">
        <f>11170290560.67/AA8</f>
        <v>2269692280.9448338</v>
      </c>
      <c r="AB58" s="333"/>
    </row>
    <row r="59" spans="1:132" ht="24.4" customHeight="1">
      <c r="A59" s="409"/>
      <c r="B59" s="546" t="s">
        <v>473</v>
      </c>
      <c r="C59" s="547"/>
      <c r="D59" s="386"/>
      <c r="E59" s="386"/>
      <c r="F59" s="386"/>
      <c r="G59" s="386"/>
      <c r="H59" s="386"/>
      <c r="I59" s="386"/>
      <c r="J59" s="386"/>
      <c r="K59" s="386"/>
      <c r="L59" s="386"/>
      <c r="M59" s="386"/>
      <c r="N59" s="386"/>
      <c r="O59" s="386"/>
      <c r="P59" s="386"/>
      <c r="Q59" s="386"/>
      <c r="R59" s="386"/>
      <c r="S59" s="386"/>
      <c r="T59" s="386"/>
      <c r="U59" s="386"/>
      <c r="V59" s="386"/>
      <c r="W59" s="386"/>
      <c r="X59" s="386"/>
      <c r="Y59" s="402">
        <f>+Y60+Y62+Y63</f>
        <v>1152</v>
      </c>
      <c r="Z59" s="402">
        <f>+Z60+Z62+Z63</f>
        <v>1495376368.6540689</v>
      </c>
      <c r="AA59" s="402">
        <f>+AA60+AA62+AA63</f>
        <v>1495376368.6540689</v>
      </c>
      <c r="AB59" s="333"/>
    </row>
    <row r="60" spans="1:132" ht="96.4" customHeight="1">
      <c r="A60" s="565">
        <v>24</v>
      </c>
      <c r="B60" s="382" t="s">
        <v>502</v>
      </c>
      <c r="C60" s="414">
        <v>58000000</v>
      </c>
      <c r="D60" s="414">
        <v>50000000</v>
      </c>
      <c r="E60" s="382"/>
      <c r="F60" s="382"/>
      <c r="G60" s="382"/>
      <c r="H60" s="382"/>
      <c r="I60" s="382"/>
      <c r="J60" s="382"/>
      <c r="K60" s="382"/>
      <c r="L60" s="382"/>
      <c r="M60" s="382"/>
      <c r="N60" s="382"/>
      <c r="O60" s="382"/>
      <c r="P60" s="382"/>
      <c r="Q60" s="382" t="s">
        <v>505</v>
      </c>
      <c r="R60" s="382" t="s">
        <v>455</v>
      </c>
      <c r="S60" s="429" t="s">
        <v>504</v>
      </c>
      <c r="T60" s="382"/>
      <c r="U60" s="382"/>
      <c r="V60" s="382"/>
      <c r="W60" s="382"/>
      <c r="X60" s="382"/>
      <c r="Y60" s="632">
        <v>1152</v>
      </c>
      <c r="Z60" s="628">
        <f>7359494798.331/AA8</f>
        <v>1495376368.6540689</v>
      </c>
      <c r="AA60" s="628">
        <f>Z60</f>
        <v>1495376368.6540689</v>
      </c>
      <c r="AB60" s="333"/>
    </row>
    <row r="61" spans="1:132" ht="123.75" customHeight="1">
      <c r="A61" s="566"/>
      <c r="B61" s="382" t="s">
        <v>503</v>
      </c>
      <c r="C61" s="414">
        <v>261485295</v>
      </c>
      <c r="D61" s="414">
        <v>215000000</v>
      </c>
      <c r="E61" s="387"/>
      <c r="F61" s="387"/>
      <c r="G61" s="387"/>
      <c r="H61" s="387"/>
      <c r="I61" s="387"/>
      <c r="J61" s="387"/>
      <c r="K61" s="387"/>
      <c r="L61" s="387"/>
      <c r="M61" s="387"/>
      <c r="N61" s="387"/>
      <c r="O61" s="387"/>
      <c r="P61" s="415"/>
      <c r="Q61" s="416" t="s">
        <v>467</v>
      </c>
      <c r="R61" s="416" t="s">
        <v>466</v>
      </c>
      <c r="S61" s="322" t="s">
        <v>478</v>
      </c>
      <c r="T61" s="412"/>
      <c r="U61" s="412"/>
      <c r="V61" s="412"/>
      <c r="W61" s="526">
        <v>419485295</v>
      </c>
      <c r="X61" s="526">
        <v>350000000</v>
      </c>
      <c r="Y61" s="633"/>
      <c r="Z61" s="629"/>
      <c r="AA61" s="629"/>
      <c r="AB61" s="333"/>
    </row>
    <row r="62" spans="1:132" ht="158.25" customHeight="1">
      <c r="A62" s="373">
        <v>25</v>
      </c>
      <c r="B62" s="321" t="s">
        <v>481</v>
      </c>
      <c r="C62" s="414">
        <v>100000000</v>
      </c>
      <c r="D62" s="414">
        <v>85000000</v>
      </c>
      <c r="E62" s="387"/>
      <c r="F62" s="387"/>
      <c r="G62" s="387"/>
      <c r="H62" s="387"/>
      <c r="I62" s="387"/>
      <c r="J62" s="387"/>
      <c r="K62" s="387"/>
      <c r="L62" s="387"/>
      <c r="M62" s="387"/>
      <c r="N62" s="387"/>
      <c r="O62" s="387"/>
      <c r="P62" s="382" t="s">
        <v>469</v>
      </c>
      <c r="Q62" s="416" t="s">
        <v>488</v>
      </c>
      <c r="R62" s="416" t="s">
        <v>487</v>
      </c>
      <c r="S62" s="416" t="s">
        <v>478</v>
      </c>
      <c r="T62" s="412"/>
      <c r="U62" s="412"/>
      <c r="V62" s="412"/>
      <c r="W62" s="527"/>
      <c r="X62" s="527"/>
      <c r="Y62" s="633"/>
      <c r="Z62" s="629"/>
      <c r="AA62" s="629"/>
      <c r="AB62" s="333"/>
    </row>
    <row r="63" spans="1:132" ht="189" customHeight="1">
      <c r="A63" s="373"/>
      <c r="B63" s="417" t="s">
        <v>485</v>
      </c>
      <c r="C63" s="414"/>
      <c r="D63" s="414"/>
      <c r="E63" s="387"/>
      <c r="F63" s="387"/>
      <c r="G63" s="387" t="s">
        <v>480</v>
      </c>
      <c r="H63" s="387"/>
      <c r="I63" s="387"/>
      <c r="J63" s="387"/>
      <c r="K63" s="387"/>
      <c r="L63" s="387"/>
      <c r="M63" s="387"/>
      <c r="N63" s="387"/>
      <c r="O63" s="387"/>
      <c r="P63" s="320" t="s">
        <v>479</v>
      </c>
      <c r="Q63" s="416" t="s">
        <v>475</v>
      </c>
      <c r="R63" s="416" t="s">
        <v>476</v>
      </c>
      <c r="S63" s="416" t="s">
        <v>478</v>
      </c>
      <c r="T63" s="412"/>
      <c r="U63" s="412"/>
      <c r="V63" s="412"/>
      <c r="W63" s="418"/>
      <c r="X63" s="418"/>
      <c r="Y63" s="634"/>
      <c r="Z63" s="630"/>
      <c r="AA63" s="630"/>
      <c r="AB63" s="333"/>
    </row>
    <row r="64" spans="1:132" s="264" customFormat="1" ht="21.2" customHeight="1" thickBot="1">
      <c r="A64" s="594" t="s">
        <v>2</v>
      </c>
      <c r="B64" s="595"/>
      <c r="C64" s="419">
        <f>C62+C61+C56+C53+C47+C40+C33+C29+C11</f>
        <v>10112690576.176472</v>
      </c>
      <c r="D64" s="419">
        <f>D62+D61+D56+D53+D47+D40+D33+D29+D11</f>
        <v>8588524485.1000004</v>
      </c>
      <c r="E64" s="419"/>
      <c r="F64" s="419"/>
      <c r="G64" s="419"/>
      <c r="H64" s="419">
        <f t="shared" ref="H64:O64" si="12">H62+H61+H56+H53+H47+H40+H33+H29+H11</f>
        <v>0</v>
      </c>
      <c r="I64" s="419">
        <f t="shared" si="12"/>
        <v>0</v>
      </c>
      <c r="J64" s="419">
        <f t="shared" si="12"/>
        <v>0</v>
      </c>
      <c r="K64" s="419">
        <f t="shared" si="12"/>
        <v>0</v>
      </c>
      <c r="L64" s="419">
        <f t="shared" si="12"/>
        <v>0</v>
      </c>
      <c r="M64" s="419">
        <f t="shared" si="12"/>
        <v>0</v>
      </c>
      <c r="N64" s="419">
        <f t="shared" si="12"/>
        <v>0</v>
      </c>
      <c r="O64" s="419">
        <f t="shared" si="12"/>
        <v>0</v>
      </c>
      <c r="P64" s="419"/>
      <c r="Q64" s="419"/>
      <c r="R64" s="419"/>
      <c r="S64" s="419"/>
      <c r="T64" s="419">
        <f>T62+T61+T56+T53+T47+T40+T33+T29+T11</f>
        <v>0</v>
      </c>
      <c r="U64" s="419">
        <f>U62+U61+U56+U53+U47+U40+U33+U29+U11</f>
        <v>0</v>
      </c>
      <c r="V64" s="419"/>
      <c r="W64" s="419">
        <f>W62+W61+W56+W53+W47+W40+W33+W29+W11</f>
        <v>10170690576.176472</v>
      </c>
      <c r="X64" s="419">
        <f>X62+X61+X56+X53+X47+X40+X33+X29+X11</f>
        <v>8638524485.8500004</v>
      </c>
      <c r="Y64" s="426">
        <f>Y63+Y62+Y60+Y58+Y57+Y55+Y54+Y52+Y51+Y50+Y49+Y48+Y46+Y45+Y44+Y42+Y41+Y39+Y38+Y37+Y36+Y35+Y34+Y32+Y30+Y28+Y26+Y25+Y22+Y19+Y16+Y12+Y61</f>
        <v>2163</v>
      </c>
      <c r="Z64" s="426">
        <f>Z63+Z62+Z60+Z58+Z57+Z55+Z54+Z52+Z51+Z50+Z49+Z48+Z46+Z45+Z44+Z42+Z41+Z39+Z38+Z37+Z36+Z35+Z34+Z32+Z30+Z28+Z26+Z25+Z22+Z19+Z16+Z12+Z61</f>
        <v>28359254091.116245</v>
      </c>
      <c r="AA64" s="426">
        <f t="shared" ref="AA64" si="13">AA63+AA62+AA60+AA58+AA57+AA55+AA54+AA52+AA51+AA50+AA49+AA48+AA46+AA45+AA44+AA42+AA41+AA39+AA38+AA37+AA36+AA35+AA34+AA32+AA30+AA28+AA26+AA25+AA22+AA19+AA16+AA12+AA61</f>
        <v>24329526510.144295</v>
      </c>
      <c r="AB64" s="333"/>
      <c r="AC64" s="258"/>
      <c r="AD64" s="258"/>
      <c r="AE64" s="258"/>
      <c r="AF64" s="258"/>
      <c r="AG64" s="258"/>
      <c r="AH64" s="258"/>
      <c r="AI64" s="258"/>
      <c r="AJ64" s="258"/>
      <c r="AK64" s="258"/>
      <c r="AL64" s="258"/>
      <c r="AM64" s="258"/>
      <c r="AN64" s="258"/>
      <c r="AO64" s="258"/>
      <c r="AP64" s="258"/>
      <c r="AQ64" s="258"/>
      <c r="AR64" s="258"/>
      <c r="AS64" s="258"/>
      <c r="AT64" s="258"/>
      <c r="AU64" s="258"/>
      <c r="AV64" s="258"/>
      <c r="AW64" s="258"/>
      <c r="AX64" s="258"/>
      <c r="AY64" s="258"/>
      <c r="AZ64" s="258"/>
      <c r="BA64" s="258"/>
      <c r="BB64" s="258"/>
      <c r="BC64" s="258"/>
      <c r="BD64" s="258"/>
      <c r="BE64" s="258"/>
      <c r="BF64" s="258"/>
      <c r="BG64" s="258"/>
      <c r="BH64" s="258"/>
      <c r="BI64" s="258"/>
      <c r="BJ64" s="258"/>
      <c r="BK64" s="258"/>
      <c r="BL64" s="258"/>
      <c r="BM64" s="258"/>
      <c r="BN64" s="258"/>
      <c r="BO64" s="258"/>
      <c r="BP64" s="258"/>
      <c r="BQ64" s="258"/>
      <c r="BR64" s="258"/>
      <c r="BS64" s="258"/>
      <c r="BT64" s="258"/>
      <c r="BU64" s="258"/>
      <c r="BV64" s="258"/>
      <c r="BW64" s="258"/>
      <c r="BX64" s="258"/>
      <c r="BY64" s="258"/>
      <c r="BZ64" s="258"/>
      <c r="CA64" s="258"/>
      <c r="CB64" s="258"/>
      <c r="CC64" s="258"/>
      <c r="CD64" s="258"/>
      <c r="CE64" s="258"/>
      <c r="CF64" s="258"/>
      <c r="CG64" s="258"/>
      <c r="CH64" s="258"/>
      <c r="CI64" s="258"/>
      <c r="CJ64" s="258"/>
      <c r="CK64" s="258"/>
      <c r="CL64" s="258"/>
      <c r="CM64" s="258"/>
      <c r="CN64" s="258"/>
      <c r="CO64" s="258"/>
      <c r="CP64" s="258"/>
      <c r="CQ64" s="258"/>
      <c r="CR64" s="258"/>
      <c r="CS64" s="258"/>
      <c r="CT64" s="258"/>
      <c r="CU64" s="258"/>
      <c r="CV64" s="258"/>
      <c r="CW64" s="258"/>
      <c r="CX64" s="258"/>
      <c r="CY64" s="258"/>
      <c r="CZ64" s="258"/>
      <c r="DA64" s="258"/>
      <c r="DB64" s="258"/>
      <c r="DC64" s="258"/>
      <c r="DD64" s="258"/>
      <c r="DE64" s="258"/>
      <c r="DF64" s="258"/>
      <c r="DG64" s="258"/>
      <c r="DH64" s="258"/>
      <c r="DI64" s="258"/>
      <c r="DJ64" s="258"/>
      <c r="DK64" s="258"/>
      <c r="DL64" s="258"/>
      <c r="DM64" s="258"/>
      <c r="DN64" s="258"/>
      <c r="DO64" s="258"/>
      <c r="DP64" s="258"/>
      <c r="DQ64" s="258"/>
      <c r="DR64" s="258"/>
      <c r="DS64" s="258"/>
      <c r="DT64" s="258"/>
      <c r="DU64" s="258"/>
      <c r="DV64" s="258"/>
      <c r="DW64" s="258"/>
      <c r="DX64" s="258"/>
      <c r="DY64" s="258"/>
      <c r="DZ64" s="258"/>
      <c r="EA64" s="258"/>
      <c r="EB64" s="258"/>
    </row>
    <row r="65" spans="1:28" ht="24.75" customHeight="1">
      <c r="A65" s="330"/>
      <c r="B65" s="330"/>
      <c r="C65" s="420"/>
      <c r="D65" s="420"/>
      <c r="E65" s="330"/>
      <c r="F65" s="330"/>
      <c r="G65" s="330"/>
      <c r="H65" s="330"/>
      <c r="I65" s="330"/>
      <c r="J65" s="330"/>
      <c r="K65" s="330"/>
      <c r="L65" s="330"/>
      <c r="M65" s="330"/>
      <c r="N65" s="330"/>
      <c r="O65" s="330"/>
      <c r="P65" s="421"/>
      <c r="Q65" s="422"/>
      <c r="R65" s="422"/>
      <c r="S65" s="423"/>
      <c r="T65" s="423"/>
      <c r="U65" s="423"/>
      <c r="V65" s="423"/>
      <c r="W65" s="424"/>
      <c r="X65" s="424"/>
      <c r="Y65" s="330" t="s">
        <v>484</v>
      </c>
      <c r="Z65" s="440"/>
      <c r="AA65" s="440"/>
      <c r="AB65" s="330"/>
    </row>
    <row r="66" spans="1:28">
      <c r="B66" s="273"/>
      <c r="C66" s="272"/>
      <c r="D66" s="277"/>
      <c r="G66" s="259"/>
      <c r="H66" s="259"/>
      <c r="I66" s="259"/>
      <c r="J66" s="259"/>
      <c r="K66" s="259"/>
      <c r="L66" s="259"/>
      <c r="M66" s="259"/>
      <c r="N66" s="259"/>
      <c r="O66" s="259"/>
      <c r="P66" s="283"/>
      <c r="Q66" s="281"/>
      <c r="R66" s="281"/>
      <c r="S66" s="282"/>
      <c r="T66" s="282"/>
      <c r="U66" s="282"/>
      <c r="V66" s="282"/>
      <c r="W66" s="302"/>
      <c r="X66" s="302"/>
      <c r="Y66" s="259"/>
      <c r="Z66" s="441"/>
      <c r="AA66" s="441"/>
    </row>
    <row r="67" spans="1:28">
      <c r="C67" s="318"/>
      <c r="D67" s="318"/>
      <c r="G67" s="259"/>
      <c r="H67" s="259"/>
      <c r="I67" s="259"/>
      <c r="J67" s="259"/>
      <c r="K67" s="259"/>
      <c r="L67" s="259"/>
      <c r="M67" s="259"/>
      <c r="N67" s="259"/>
      <c r="O67" s="259"/>
      <c r="P67" s="283"/>
      <c r="Q67" s="281"/>
      <c r="R67" s="281"/>
      <c r="S67" s="283"/>
      <c r="T67" s="283"/>
      <c r="U67" s="283"/>
      <c r="V67" s="283"/>
      <c r="W67" s="304"/>
      <c r="X67" s="304"/>
      <c r="Z67" s="442"/>
      <c r="AA67" s="442">
        <f>AA66-AA65</f>
        <v>0</v>
      </c>
    </row>
    <row r="68" spans="1:28" ht="20.25" customHeight="1">
      <c r="G68" s="259"/>
      <c r="H68" s="259"/>
      <c r="I68" s="259"/>
      <c r="J68" s="259"/>
      <c r="K68" s="259"/>
      <c r="L68" s="259"/>
      <c r="M68" s="259"/>
      <c r="N68" s="259"/>
      <c r="O68" s="259"/>
      <c r="P68" s="283"/>
      <c r="Q68" s="281"/>
      <c r="R68" s="281"/>
      <c r="S68" s="285"/>
      <c r="T68" s="285"/>
      <c r="U68" s="285"/>
      <c r="V68" s="285"/>
      <c r="W68" s="303"/>
      <c r="X68" s="303"/>
      <c r="Y68" s="272"/>
      <c r="Z68" s="272"/>
      <c r="AA68" s="271"/>
    </row>
    <row r="69" spans="1:28">
      <c r="G69" s="259"/>
      <c r="H69" s="259"/>
      <c r="I69" s="259"/>
      <c r="J69" s="259"/>
      <c r="K69" s="259"/>
      <c r="L69" s="259"/>
      <c r="M69" s="259"/>
      <c r="N69" s="259"/>
      <c r="O69" s="259"/>
      <c r="P69" s="283"/>
      <c r="Q69" s="281"/>
      <c r="R69" s="284"/>
      <c r="S69" s="285"/>
      <c r="T69" s="285"/>
      <c r="U69" s="285"/>
      <c r="V69" s="285"/>
      <c r="W69" s="303"/>
      <c r="X69" s="303"/>
      <c r="Y69" s="259"/>
      <c r="Z69" s="272"/>
      <c r="AA69" s="269"/>
    </row>
    <row r="70" spans="1:28" ht="38.25" customHeight="1">
      <c r="D70" s="296"/>
      <c r="E70" s="274"/>
      <c r="F70" s="274"/>
      <c r="G70" s="278"/>
      <c r="H70" s="278"/>
      <c r="I70" s="278"/>
      <c r="J70" s="278"/>
      <c r="K70" s="278"/>
      <c r="L70" s="278"/>
      <c r="M70" s="278"/>
      <c r="N70" s="278"/>
      <c r="O70" s="278"/>
      <c r="P70" s="286"/>
      <c r="Q70" s="286"/>
      <c r="R70" s="293"/>
      <c r="S70" s="292"/>
      <c r="T70" s="292"/>
      <c r="U70" s="292"/>
      <c r="V70" s="292"/>
      <c r="W70" s="304"/>
      <c r="X70" s="304"/>
      <c r="Y70" s="266"/>
      <c r="Z70" s="272"/>
      <c r="AA70" s="259"/>
    </row>
    <row r="71" spans="1:28" ht="38.25" customHeight="1">
      <c r="D71" s="278"/>
      <c r="E71" s="274"/>
      <c r="F71" s="274"/>
      <c r="G71" s="278"/>
      <c r="H71" s="278"/>
      <c r="I71" s="278"/>
      <c r="J71" s="278"/>
      <c r="K71" s="278"/>
      <c r="L71" s="278"/>
      <c r="M71" s="278"/>
      <c r="N71" s="278"/>
      <c r="O71" s="278"/>
      <c r="P71" s="286"/>
      <c r="Q71" s="286"/>
      <c r="R71" s="293"/>
      <c r="S71" s="291"/>
      <c r="T71" s="291"/>
      <c r="U71" s="291"/>
      <c r="V71" s="291"/>
      <c r="Y71" s="266"/>
      <c r="Z71" s="272"/>
      <c r="AA71" s="259"/>
    </row>
    <row r="72" spans="1:28" ht="38.25" customHeight="1">
      <c r="D72" s="278"/>
      <c r="E72" s="274"/>
      <c r="F72" s="274"/>
      <c r="G72" s="278"/>
      <c r="H72" s="278"/>
      <c r="I72" s="278"/>
      <c r="J72" s="278"/>
      <c r="K72" s="278"/>
      <c r="L72" s="278"/>
      <c r="M72" s="278"/>
      <c r="N72" s="278"/>
      <c r="O72" s="278"/>
      <c r="P72" s="286"/>
      <c r="Q72" s="286"/>
      <c r="R72" s="293"/>
      <c r="S72" s="292"/>
      <c r="T72" s="292"/>
      <c r="U72" s="292"/>
      <c r="V72" s="292"/>
      <c r="Y72" s="265">
        <f>+Z64-Y71</f>
        <v>28359254091.116245</v>
      </c>
      <c r="Z72" s="267"/>
      <c r="AA72" s="267"/>
    </row>
    <row r="73" spans="1:28" ht="38.25" customHeight="1">
      <c r="D73" s="278"/>
      <c r="E73" s="274"/>
      <c r="F73" s="274"/>
      <c r="G73" s="278"/>
      <c r="H73" s="278"/>
      <c r="I73" s="278"/>
      <c r="J73" s="278"/>
      <c r="K73" s="278"/>
      <c r="L73" s="278"/>
      <c r="M73" s="278"/>
      <c r="N73" s="278"/>
      <c r="O73" s="278"/>
      <c r="P73" s="286"/>
      <c r="Q73" s="286"/>
      <c r="R73" s="293"/>
      <c r="S73" s="292"/>
      <c r="T73" s="292"/>
      <c r="U73" s="292"/>
      <c r="V73" s="292"/>
      <c r="Y73" s="266"/>
      <c r="Z73" s="259"/>
      <c r="AA73" s="259"/>
    </row>
    <row r="74" spans="1:28" ht="38.25" customHeight="1">
      <c r="D74" s="279"/>
      <c r="E74" s="275"/>
      <c r="F74" s="275"/>
      <c r="G74" s="279"/>
      <c r="H74" s="279"/>
      <c r="I74" s="279"/>
      <c r="J74" s="279"/>
      <c r="K74" s="279"/>
      <c r="L74" s="279"/>
      <c r="M74" s="279"/>
      <c r="N74" s="279"/>
      <c r="O74" s="279"/>
      <c r="P74" s="287"/>
      <c r="Q74" s="287"/>
      <c r="R74" s="294"/>
      <c r="Y74" s="266"/>
      <c r="Z74" s="276"/>
      <c r="AA74" s="268"/>
    </row>
    <row r="75" spans="1:28" ht="38.25" customHeight="1">
      <c r="Z75" s="269"/>
      <c r="AA75" s="269"/>
    </row>
  </sheetData>
  <mergeCells count="181">
    <mergeCell ref="A38:A39"/>
    <mergeCell ref="C34:C35"/>
    <mergeCell ref="A41:A43"/>
    <mergeCell ref="A30:A31"/>
    <mergeCell ref="B30:B31"/>
    <mergeCell ref="C41:C43"/>
    <mergeCell ref="C38:C39"/>
    <mergeCell ref="E42:E43"/>
    <mergeCell ref="Y60:Y63"/>
    <mergeCell ref="Z60:Z63"/>
    <mergeCell ref="AA60:AA63"/>
    <mergeCell ref="AA30:AA31"/>
    <mergeCell ref="F34:F35"/>
    <mergeCell ref="Y30:Y31"/>
    <mergeCell ref="X30:X31"/>
    <mergeCell ref="Z30:Z31"/>
    <mergeCell ref="W30:W31"/>
    <mergeCell ref="Y42:Y43"/>
    <mergeCell ref="T42:T43"/>
    <mergeCell ref="U42:U43"/>
    <mergeCell ref="W34:W35"/>
    <mergeCell ref="X34:X35"/>
    <mergeCell ref="Y9:AA9"/>
    <mergeCell ref="R16:R17"/>
    <mergeCell ref="S16:S17"/>
    <mergeCell ref="U19:U21"/>
    <mergeCell ref="S9:S10"/>
    <mergeCell ref="W9:X9"/>
    <mergeCell ref="S12:S14"/>
    <mergeCell ref="Y12:Y15"/>
    <mergeCell ref="AA12:AA15"/>
    <mergeCell ref="T12:T14"/>
    <mergeCell ref="T16:T17"/>
    <mergeCell ref="R12:R14"/>
    <mergeCell ref="Y16:Y18"/>
    <mergeCell ref="Z16:Z18"/>
    <mergeCell ref="AA16:AA18"/>
    <mergeCell ref="Y19:Y21"/>
    <mergeCell ref="Z19:Z21"/>
    <mergeCell ref="AA19:AA21"/>
    <mergeCell ref="S19:S21"/>
    <mergeCell ref="Z12:Z15"/>
    <mergeCell ref="A64:B64"/>
    <mergeCell ref="A9:B10"/>
    <mergeCell ref="A11:B11"/>
    <mergeCell ref="A12:A15"/>
    <mergeCell ref="A16:A18"/>
    <mergeCell ref="B19:B20"/>
    <mergeCell ref="B16:B17"/>
    <mergeCell ref="B12:B14"/>
    <mergeCell ref="A56:B56"/>
    <mergeCell ref="A19:A21"/>
    <mergeCell ref="A47:B47"/>
    <mergeCell ref="A44:A46"/>
    <mergeCell ref="A40:B40"/>
    <mergeCell ref="A33:B33"/>
    <mergeCell ref="A22:A23"/>
    <mergeCell ref="B22:B23"/>
    <mergeCell ref="A24:A25"/>
    <mergeCell ref="A26:A27"/>
    <mergeCell ref="B26:B27"/>
    <mergeCell ref="B57:B58"/>
    <mergeCell ref="B38:B39"/>
    <mergeCell ref="B41:B43"/>
    <mergeCell ref="B24:B25"/>
    <mergeCell ref="A53:B53"/>
    <mergeCell ref="W22:W23"/>
    <mergeCell ref="X22:X23"/>
    <mergeCell ref="P19:P21"/>
    <mergeCell ref="Q19:Q21"/>
    <mergeCell ref="R19:R21"/>
    <mergeCell ref="T19:T21"/>
    <mergeCell ref="F22:F23"/>
    <mergeCell ref="G22:G23"/>
    <mergeCell ref="P22:P23"/>
    <mergeCell ref="O19:O21"/>
    <mergeCell ref="F19:F21"/>
    <mergeCell ref="B4:R4"/>
    <mergeCell ref="L19:L21"/>
    <mergeCell ref="M19:M21"/>
    <mergeCell ref="J16:J18"/>
    <mergeCell ref="K16:K18"/>
    <mergeCell ref="K12:K15"/>
    <mergeCell ref="E16:E18"/>
    <mergeCell ref="G16:G18"/>
    <mergeCell ref="H16:H18"/>
    <mergeCell ref="I16:I18"/>
    <mergeCell ref="A6:X6"/>
    <mergeCell ref="G9:G10"/>
    <mergeCell ref="F9:F10"/>
    <mergeCell ref="H9:O9"/>
    <mergeCell ref="F16:F18"/>
    <mergeCell ref="T9:T10"/>
    <mergeCell ref="G19:G21"/>
    <mergeCell ref="N19:N21"/>
    <mergeCell ref="C9:D9"/>
    <mergeCell ref="P9:P10"/>
    <mergeCell ref="Q9:Q10"/>
    <mergeCell ref="N16:N18"/>
    <mergeCell ref="E9:E10"/>
    <mergeCell ref="R9:R10"/>
    <mergeCell ref="F12:F15"/>
    <mergeCell ref="G12:G15"/>
    <mergeCell ref="H12:H15"/>
    <mergeCell ref="I12:I15"/>
    <mergeCell ref="P16:P18"/>
    <mergeCell ref="E19:E21"/>
    <mergeCell ref="O16:O18"/>
    <mergeCell ref="Q16:Q17"/>
    <mergeCell ref="K19:K21"/>
    <mergeCell ref="M16:M18"/>
    <mergeCell ref="N12:N15"/>
    <mergeCell ref="L16:L18"/>
    <mergeCell ref="O12:O15"/>
    <mergeCell ref="J12:J15"/>
    <mergeCell ref="L12:L15"/>
    <mergeCell ref="M12:M15"/>
    <mergeCell ref="J19:J21"/>
    <mergeCell ref="H19:H21"/>
    <mergeCell ref="I19:I21"/>
    <mergeCell ref="Q12:Q14"/>
    <mergeCell ref="P12:P15"/>
    <mergeCell ref="E12:E15"/>
    <mergeCell ref="C22:C23"/>
    <mergeCell ref="D22:D23"/>
    <mergeCell ref="E22:E23"/>
    <mergeCell ref="E26:E27"/>
    <mergeCell ref="C24:C25"/>
    <mergeCell ref="D24:D25"/>
    <mergeCell ref="D30:D31"/>
    <mergeCell ref="E24:E25"/>
    <mergeCell ref="E34:E35"/>
    <mergeCell ref="E30:E31"/>
    <mergeCell ref="X26:X27"/>
    <mergeCell ref="S54:S55"/>
    <mergeCell ref="B59:C59"/>
    <mergeCell ref="A29:B29"/>
    <mergeCell ref="A48:A49"/>
    <mergeCell ref="B34:B36"/>
    <mergeCell ref="W61:W62"/>
    <mergeCell ref="W26:W27"/>
    <mergeCell ref="F24:F25"/>
    <mergeCell ref="W24:W25"/>
    <mergeCell ref="F26:F27"/>
    <mergeCell ref="G26:G27"/>
    <mergeCell ref="P26:P27"/>
    <mergeCell ref="F30:F31"/>
    <mergeCell ref="G30:G31"/>
    <mergeCell ref="F42:F43"/>
    <mergeCell ref="G42:G43"/>
    <mergeCell ref="P42:P43"/>
    <mergeCell ref="Q42:Q43"/>
    <mergeCell ref="R42:R43"/>
    <mergeCell ref="S42:S43"/>
    <mergeCell ref="X24:X25"/>
    <mergeCell ref="A60:A61"/>
    <mergeCell ref="A34:A36"/>
    <mergeCell ref="Y22:Y23"/>
    <mergeCell ref="Z22:Z23"/>
    <mergeCell ref="AA22:AA23"/>
    <mergeCell ref="Y26:Y27"/>
    <mergeCell ref="Z26:Z27"/>
    <mergeCell ref="AA26:AA27"/>
    <mergeCell ref="X61:X62"/>
    <mergeCell ref="D34:D35"/>
    <mergeCell ref="C30:C31"/>
    <mergeCell ref="C44:C45"/>
    <mergeCell ref="D44:D45"/>
    <mergeCell ref="D26:D27"/>
    <mergeCell ref="C26:C27"/>
    <mergeCell ref="C57:C58"/>
    <mergeCell ref="D57:D58"/>
    <mergeCell ref="W38:W39"/>
    <mergeCell ref="X38:X39"/>
    <mergeCell ref="W41:W43"/>
    <mergeCell ref="X41:X43"/>
    <mergeCell ref="W44:W45"/>
    <mergeCell ref="X44:X45"/>
    <mergeCell ref="D41:D43"/>
    <mergeCell ref="V42:V43"/>
    <mergeCell ref="D38:D39"/>
  </mergeCells>
  <phoneticPr fontId="37" type="noConversion"/>
  <hyperlinks>
    <hyperlink ref="T19" r:id="rId1" xr:uid="{00000000-0004-0000-0300-000000000000}"/>
    <hyperlink ref="T32" r:id="rId2" display="http://www.fonduri-ue.ro/images/files/programe/INFRASTRUCTURA/POIM/2018/13.08.2018/Ghid_OS_3.2_POIM_august_2018.zip" xr:uid="{00000000-0004-0000-0300-000001000000}"/>
    <hyperlink ref="T15" r:id="rId3" xr:uid="{00000000-0004-0000-0300-000002000000}"/>
    <hyperlink ref="V15" r:id="rId4" xr:uid="{00000000-0004-0000-0300-000003000000}"/>
    <hyperlink ref="V18" r:id="rId5" xr:uid="{00000000-0004-0000-0300-000004000000}"/>
    <hyperlink ref="V21" r:id="rId6" xr:uid="{00000000-0004-0000-0300-000005000000}"/>
    <hyperlink ref="V25" r:id="rId7" xr:uid="{00000000-0004-0000-0300-000006000000}"/>
    <hyperlink ref="V23" r:id="rId8" xr:uid="{00000000-0004-0000-0300-000007000000}"/>
    <hyperlink ref="V27" r:id="rId9" xr:uid="{00000000-0004-0000-0300-000008000000}"/>
    <hyperlink ref="V28" r:id="rId10" xr:uid="{00000000-0004-0000-0300-000009000000}"/>
    <hyperlink ref="V32" r:id="rId11" xr:uid="{00000000-0004-0000-0300-00000A000000}"/>
    <hyperlink ref="V36" r:id="rId12" xr:uid="{00000000-0004-0000-0300-00000B000000}"/>
    <hyperlink ref="V37" r:id="rId13" xr:uid="{00000000-0004-0000-0300-00000C000000}"/>
    <hyperlink ref="T38" r:id="rId14" xr:uid="{00000000-0004-0000-0300-00000D000000}"/>
    <hyperlink ref="V38" r:id="rId15" xr:uid="{00000000-0004-0000-0300-00000E000000}"/>
    <hyperlink ref="V48" r:id="rId16" xr:uid="{00000000-0004-0000-0300-00000F000000}"/>
    <hyperlink ref="V49" r:id="rId17" xr:uid="{00000000-0004-0000-0300-000010000000}"/>
    <hyperlink ref="V50" r:id="rId18" xr:uid="{00000000-0004-0000-0300-000011000000}"/>
    <hyperlink ref="V51" r:id="rId19" xr:uid="{00000000-0004-0000-0300-000012000000}"/>
    <hyperlink ref="V52" r:id="rId20" xr:uid="{00000000-0004-0000-0300-000013000000}"/>
    <hyperlink ref="V54" r:id="rId21" xr:uid="{00000000-0004-0000-0300-000014000000}"/>
    <hyperlink ref="V42" r:id="rId22" xr:uid="{00000000-0004-0000-0300-000015000000}"/>
    <hyperlink ref="T42" r:id="rId23" xr:uid="{00000000-0004-0000-0300-000016000000}"/>
    <hyperlink ref="P62" r:id="rId24" tooltip="POIM, consultare publică: Ghidul „Consolidarea capacităţii unităților de învățământ preuniversitar de stat în vederea gestionării situației de pandemie generată de virusul SARS-COV-2”" display="http://mfe.gov.ro/poim-consultare-publica-ghidul-consolidarea-capacitatii-unitatilor-de-invatamant-preuniversitar-de-stat-in-vederea-gestionarii-situatiei-de-pandemie-generata-de-virusul-sars-cov-2/" xr:uid="{00000000-0004-0000-0300-000017000000}"/>
  </hyperlinks>
  <pageMargins left="0.70866141732283505" right="0.31496062992126" top="0.35433070866141703" bottom="0.35433070866141703" header="0.31496062992126" footer="0.31496062992126"/>
  <pageSetup paperSize="8" scale="24" fitToHeight="0" orientation="landscape" r:id="rId25"/>
  <rowBreaks count="6" manualBreakCount="6">
    <brk id="18" max="16383" man="1"/>
    <brk id="29" max="16383" man="1"/>
    <brk id="39" max="16383" man="1"/>
    <brk id="51" max="38" man="1"/>
    <brk id="61" max="16383" man="1"/>
    <brk id="74"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Tabel 2_balanta</vt:lpstr>
      <vt:lpstr>Calendar sintetic</vt:lpstr>
      <vt:lpstr>proiecte depuse, respinse si ap</vt:lpstr>
      <vt:lpstr>Calendar apeluri detaliat</vt:lpstr>
      <vt:lpstr>'Calendar sintetic'!Print_Area</vt:lpstr>
      <vt:lpstr>'proiecte depuse, respinse si ap'!Print_Area</vt:lpstr>
      <vt:lpstr>'Tabel 2_balanta'!Print_Area</vt:lpstr>
      <vt:lpstr>'Calendar apeluri detaliat'!Print_Titles</vt:lpstr>
      <vt:lpstr>'Calendar sintetic'!Print_Titles</vt:lpstr>
      <vt:lpstr>'Tabel 2_balanta'!Print_Titles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Alecsandra Iulia Ionescu</dc:creator>
  <cp:lastModifiedBy>Mirela Cosovan</cp:lastModifiedBy>
  <cp:lastPrinted>2019-04-18T08:06:46Z</cp:lastPrinted>
  <dcterms:created xsi:type="dcterms:W3CDTF">2015-10-16T10:40:12Z</dcterms:created>
  <dcterms:modified xsi:type="dcterms:W3CDTF">2021-08-24T07:14:30Z</dcterms:modified>
</cp:coreProperties>
</file>